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365" firstSheet="1" activeTab="9"/>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<sst xmlns="http://schemas.openxmlformats.org/spreadsheetml/2006/main" count="3727" uniqueCount="3008">
  <si>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</si>
  <si>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</si>
  <si>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</si>
  <si>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</si>
  <si>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</si>
  <si>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</si>
  <si>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</si>
  <si>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</si>
  <si>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</si>
  <si>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</si>
  <si>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</si>
  <si>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</si>
  <si>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</si>
  <si>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</si>
  <si>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</si>
  <si>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</si>
  <si>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</si>
  <si>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</si>
  <si>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</si>
  <si>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</si>
  <si>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</si>
  <si>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</si>
  <si>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</si>
  <si>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</si>
  <si>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</si>
  <si>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</si>
  <si>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</si>
  <si>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</si>
  <si>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</si>
  <si>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</si>
  <si>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</si>
  <si>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</si>
  <si>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</si>
  <si>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</si>
  <si>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</si>
  <si>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</si>
  <si>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</si>
  <si>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</si>
  <si>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</si>
  <si>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</si>
  <si>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</si>
  <si>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</si>
  <si>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</si>
  <si>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</si>
  <si>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</si>
  <si>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</si>
  <si>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</si>
  <si>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</si>
  <si>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</si>
  <si>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</si>
  <si>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</si>
  <si>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</si>
  <si>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</si>
  <si>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</si>
  <si>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</si>
  <si>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</si>
  <si>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</si>
  <si>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</si>
  <si>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</si>
  <si>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</si>
  <si>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</si>
  <si>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</si>
  <si>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</si>
  <si>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</si>
  <si>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</si>
  <si>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</si>
  <si>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</si>
  <si>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</si>
  <si>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</si>
  <si>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</si>
  <si>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</si>
  <si>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</si>
  <si>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</si>
  <si>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</si>
  <si>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</si>
  <si>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</si>
  <si>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</si>
  <si>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</si>
  <si>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</si>
  <si>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</si>
  <si>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</si>
  <si>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</si>
  <si>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</si>
  <si>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</si>
  <si>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</si>
  <si>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</si>
  <si>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</si>
  <si>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</si>
  <si>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</si>
  <si>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</si>
  <si>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</si>
  <si>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</si>
  <si>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</si>
  <si>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</si>
  <si>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</si>
  <si>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</si>
  <si>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</si>
  <si>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</si>
  <si>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</si>
  <si>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</si>
  <si>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</si>
  <si>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</si>
  <si>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</si>
  <si>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</si>
  <si>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</si>
  <si>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</si>
  <si>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</si>
  <si>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</si>
  <si>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</si>
  <si>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</si>
  <si>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</si>
  <si>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</si>
  <si>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</si>
  <si>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</si>
  <si>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</si>
  <si>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</si>
  <si>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</si>
  <si>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</si>
  <si>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</si>
  <si>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</si>
  <si>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</si>
  <si>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</si>
  <si>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</si>
  <si>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</si>
  <si>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</si>
  <si>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</si>
  <si>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</si>
  <si>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</si>
  <si>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</si>
  <si>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</si>
  <si>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</si>
  <si>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</si>
  <si>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</si>
  <si>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</si>
  <si>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</si>
  <si>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</si>
  <si>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</si>
  <si>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</si>
  <si>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</si>
  <si>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</si>
  <si>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</si>
  <si>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</si>
  <si>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</si>
  <si>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</si>
  <si>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</si>
  <si>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</si>
  <si>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</si>
  <si>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</si>
  <si>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</si>
  <si>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</si>
  <si>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</si>
  <si>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</si>
  <si>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</si>
  <si>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</si>
  <si>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</si>
  <si>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</si>
  <si>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</si>
  <si>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</si>
  <si>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</si>
  <si>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</si>
  <si>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</si>
  <si>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</si>
  <si>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</si>
  <si>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</si>
  <si>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</si>
  <si>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</si>
  <si>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</si>
  <si>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</si>
  <si>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</si>
  <si>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</si>
  <si>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</si>
  <si>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</si>
  <si>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</si>
  <si>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</si>
  <si>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</si>
  <si>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</si>
  <si>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</si>
  <si>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</si>
  <si>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</si>
  <si>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</si>
  <si>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</si>
  <si>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</si>
  <si>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</si>
  <si>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</si>
  <si>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</si>
  <si>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</si>
  <si>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</si>
  <si>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</si>
  <si>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</si>
  <si>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</si>
  <si>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</si>
  <si>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</si>
  <si>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</si>
  <si>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</si>
  <si>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</si>
  <si>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</si>
  <si>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</si>
  <si>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</si>
  <si>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</si>
  <si>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</si>
  <si>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</si>
  <si>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</si>
  <si>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</si>
  <si>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</si>
  <si>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</si>
  <si>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</si>
  <si>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</si>
  <si>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</si>
  <si>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</si>
  <si>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</si>
  <si>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</si>
  <si>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</si>
  <si>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</si>
  <si>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</si>
  <si>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</si>
  <si>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</si>
  <si>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</si>
  <si>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</si>
  <si>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</si>
  <si>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</si>
  <si>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</si>
  <si>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</si>
  <si>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</si>
  <si>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</si>
  <si>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</si>
  <si>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</si>
  <si>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</si>
  <si>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</si>
  <si>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</si>
  <si>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</si>
  <si>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</si>
  <si>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</si>
  <si>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</si>
  <si>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</si>
  <si>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</si>
  <si>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</si>
  <si>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</si>
  <si>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</si>
  <si>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</si>
  <si>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</si>
  <si>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</si>
  <si>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</si>
  <si>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</si>
  <si>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</si>
  <si>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</si>
  <si>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</si>
  <si>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</si>
  <si>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</si>
  <si>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</si>
  <si>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</si>
  <si>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</si>
  <si>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</si>
  <si>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</si>
  <si>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</si>
  <si>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</si>
  <si>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</si>
  <si>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</si>
  <si>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</si>
  <si>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</si>
  <si>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</si>
  <si>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</si>
  <si>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</si>
  <si>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</si>
  <si>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</si>
  <si>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</si>
  <si>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</si>
  <si>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</si>
  <si>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</si>
  <si>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</si>
  <si>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</si>
  <si>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</si>
  <si>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</si>
  <si>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</si>
  <si>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</si>
  <si>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</si>
  <si>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</si>
  <si>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</si>
  <si>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</si>
  <si>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</si>
  <si>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</si>
  <si>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</si>
  <si>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</si>
  <si>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</si>
  <si>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</si>
  <si>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</si>
  <si>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</si>
  <si>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</si>
  <si>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</si>
  <si>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</si>
  <si>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</si>
  <si>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</si>
  <si>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</si>
  <si>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</si>
  <si>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</si>
  <si>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</si>
  <si>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</si>
  <si>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</si>
  <si>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</si>
  <si>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</si>
  <si>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</si>
  <si>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</si>
  <si>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</si>
  <si>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</si>
  <si>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</si>
  <si>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</si>
  <si>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</si>
  <si>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</si>
  <si>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</si>
  <si>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</si>
  <si>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</si>
  <si>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</si>
  <si>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</si>
  <si>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</si>
  <si>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</si>
  <si>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</si>
  <si>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</si>
  <si>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</si>
  <si>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</si>
  <si>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</si>
  <si>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</si>
  <si>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</si>
  <si>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</si>
  <si>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</si>
  <si>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</si>
  <si>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</si>
  <si>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</si>
  <si>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</si>
  <si>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</si>
  <si>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</si>
  <si>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</si>
  <si>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</si>
  <si>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</si>
  <si>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</si>
  <si>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</si>
  <si>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</si>
  <si>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</si>
  <si>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</si>
  <si>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</si>
  <si>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</si>
  <si>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</si>
  <si>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</si>
  <si>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</si>
  <si>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</si>
  <si>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</si>
  <si>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</si>
  <si>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</si>
  <si>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</si>
  <si>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</si>
  <si>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</si>
  <si>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</si>
  <si>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</si>
  <si>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</si>
  <si>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</si>
  <si>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</si>
  <si>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</si>
  <si>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</si>
  <si>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</si>
  <si>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</si>
  <si>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</si>
  <si>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</si>
  <si>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</si>
  <si>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</si>
  <si>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</si>
  <si>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</si>
  <si>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</si>
  <si>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</si>
  <si>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</si>
  <si>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</si>
  <si>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</si>
  <si>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</si>
  <si>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</si>
  <si>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</si>
  <si>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</si>
  <si>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</si>
  <si>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</si>
  <si>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</si>
  <si>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</si>
  <si>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</si>
  <si>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</si>
  <si>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</si>
  <si>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</si>
  <si>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</si>
  <si>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</si>
  <si>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</si>
  <si>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</si>
  <si>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</si>
  <si>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</si>
  <si>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</si>
  <si>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</si>
  <si>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</si>
  <si>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</si>
  <si>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</si>
  <si>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</si>
  <si>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</si>
  <si>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</si>
  <si>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</si>
  <si>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</si>
  <si>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</si>
  <si>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</si>
  <si>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</si>
  <si>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</si>
  <si>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</si>
  <si>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</si>
  <si>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</si>
  <si>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</si>
  <si>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</si>
  <si>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</si>
  <si>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</si>
  <si>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</si>
  <si>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</si>
  <si>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</si>
  <si>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</si>
  <si>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</si>
  <si>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</si>
  <si>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</si>
  <si>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</si>
  <si>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</si>
  <si>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</si>
  <si>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</si>
  <si>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</si>
  <si>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</si>
  <si>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</si>
  <si>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</si>
  <si>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</si>
  <si>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</si>
  <si>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</si>
  <si>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</si>
  <si>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</si>
  <si>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</si>
  <si>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</si>
  <si>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</si>
  <si>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</si>
  <si>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</si>
  <si>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</si>
  <si>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</si>
  <si>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</si>
  <si>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</si>
  <si>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</si>
  <si>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</si>
  <si>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</si>
  <si>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</si>
  <si>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</si>
  <si>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</si>
  <si>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</si>
  <si>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</si>
  <si>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</si>
  <si>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</si>
  <si>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</si>
  <si>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</si>
  <si>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</si>
  <si>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</si>
  <si>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</si>
  <si>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</si>
  <si>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</si>
  <si>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</si>
  <si>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</si>
  <si>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</si>
  <si>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</si>
  <si>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</si>
  <si>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</si>
  <si>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</si>
  <si>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</si>
  <si>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</si>
  <si>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</si>
  <si>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</si>
  <si>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</si>
  <si>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</si>
  <si>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</si>
  <si>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</si>
  <si>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</si>
  <si>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</si>
  <si>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</si>
  <si>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</si>
  <si>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</si>
  <si>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</si>
  <si>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</si>
  <si>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</si>
  <si>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</si>
  <si>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</si>
  <si>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</si>
  <si>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</si>
  <si>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</si>
  <si>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</si>
  <si>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</si>
  <si>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</si>
  <si>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</si>
  <si>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</si>
  <si>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</si>
  <si>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</si>
  <si>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</si>
  <si>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</si>
  <si>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</si>
  <si>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</si>
  <si>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</si>
  <si>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</si>
  <si>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</si>
  <si>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</si>
  <si>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</si>
  <si>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</si>
  <si>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</si>
  <si>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</si>
  <si>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</si>
  <si>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</si>
  <si>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</si>
  <si>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</si>
  <si>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</si>
  <si>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</si>
  <si>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</si>
  <si>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</si>
  <si>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</si>
  <si>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</si>
  <si>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</si>
  <si>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</si>
  <si>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</si>
  <si>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</si>
  <si>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</si>
  <si>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</si>
  <si>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</si>
  <si>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</si>
  <si>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</si>
  <si>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</si>
  <si>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</si>
  <si>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</si>
  <si>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</si>
  <si>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</si>
  <si>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</si>
  <si>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</si>
  <si>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</si>
  <si>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</si>
  <si>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</si>
  <si>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</si>
  <si>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</si>
  <si>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</si>
  <si>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</si>
  <si>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</si>
  <si>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</si>
  <si>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</si>
  <si>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</si>
  <si>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</si>
  <si>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</si>
  <si>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</si>
  <si>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</si>
  <si>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</si>
  <si>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</si>
  <si>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</si>
  <si>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</si>
  <si>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</si>
  <si>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</si>
  <si>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</si>
  <si>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</si>
  <si>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</si>
  <si>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</si>
  <si>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</si>
  <si>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</si>
  <si>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</si>
  <si>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</si>
  <si>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</si>
  <si>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</si>
  <si>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</si>
  <si>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</si>
  <si>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</si>
  <si>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</si>
  <si>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</si>
  <si>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</si>
  <si>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</si>
  <si>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</si>
  <si>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</si>
  <si>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</si>
  <si>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</si>
  <si>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</si>
  <si>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</si>
  <si>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</si>
  <si>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</si>
  <si>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</si>
  <si>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</si>
  <si>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</si>
  <si>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</si>
  <si>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</si>
  <si>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</si>
  <si>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</si>
  <si>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</si>
  <si>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</si>
  <si>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</si>
  <si>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</si>
  <si>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</si>
  <si>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</si>
  <si>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</si>
  <si>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</si>
  <si>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</si>
  <si>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</si>
  <si>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</si>
  <si>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</si>
  <si>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</si>
  <si>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</si>
  <si>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</si>
  <si>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</si>
  <si>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</si>
  <si>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</si>
  <si>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</si>
  <si>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</si>
  <si>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</si>
  <si>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</si>
  <si>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</si>
  <si>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</si>
  <si>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</si>
  <si>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</si>
  <si>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</si>
  <si>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</si>
  <si>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</si>
  <si>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</si>
  <si>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</si>
  <si>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</si>
  <si>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</si>
  <si>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</si>
  <si>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</si>
  <si>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</si>
  <si>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</si>
  <si>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</si>
  <si>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</si>
  <si>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</si>
  <si>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</si>
  <si>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</si>
  <si>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</si>
  <si>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</si>
  <si>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</si>
  <si>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</si>
  <si>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</si>
  <si>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</si>
  <si>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</si>
  <si>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</si>
  <si>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</si>
  <si>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</si>
  <si>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</si>
  <si>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</si>
  <si>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</si>
  <si>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</si>
  <si>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</si>
  <si>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</si>
  <si>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</si>
  <si>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</si>
  <si>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</si>
  <si>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</si>
  <si>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</si>
  <si>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</si>
  <si>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</si>
  <si>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</si>
  <si>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</si>
  <si>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</si>
  <si>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</si>
  <si>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</si>
  <si>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</si>
  <si>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</si>
  <si>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</si>
  <si>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</si>
  <si>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</si>
  <si>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</si>
  <si>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</si>
  <si>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</si>
  <si>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</si>
  <si>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</si>
  <si>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</si>
  <si>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</si>
  <si>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</si>
  <si>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</si>
  <si>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</si>
  <si>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</si>
  <si>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</si>
  <si>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</si>
  <si>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</si>
  <si>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</si>
  <si>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</si>
  <si>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</si>
  <si>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</si>
  <si>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</si>
  <si>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</si>
  <si>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</si>
  <si>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</si>
  <si>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</si>
  <si>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</si>
  <si>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</si>
  <si>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</si>
  <si>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</si>
  <si>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</si>
  <si>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</si>
  <si>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</si>
  <si>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</si>
  <si>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</si>
  <si>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</si>
  <si>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</si>
  <si>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</si>
  <si>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</si>
  <si>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</si>
  <si>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</si>
  <si>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</si>
  <si>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</si>
  <si>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</si>
  <si>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</si>
  <si>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</si>
  <si>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</si>
  <si>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</si>
  <si>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</si>
  <si>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</si>
  <si>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</si>
  <si>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</si>
  <si>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</si>
  <si>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</si>
  <si>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</si>
  <si>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</si>
  <si>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</si>
  <si>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</si>
  <si>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</si>
  <si>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</si>
  <si>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</si>
  <si>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</si>
  <si>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</si>
  <si>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</si>
  <si>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</si>
  <si>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</si>
  <si>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</si>
  <si>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</si>
  <si>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</si>
  <si>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</si>
  <si>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</si>
  <si>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</si>
  <si>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</si>
  <si>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</si>
  <si>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</si>
  <si>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</si>
  <si>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</si>
  <si>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</si>
  <si>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</si>
  <si>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</si>
  <si>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</si>
  <si>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</si>
  <si>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</si>
  <si>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</si>
  <si>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</si>
  <si>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</si>
  <si>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</si>
  <si>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</si>
  <si>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</si>
  <si>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</si>
  <si>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</si>
  <si>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</si>
  <si>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</si>
  <si>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</si>
  <si>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</si>
  <si>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</si>
  <si>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</si>
  <si>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</si>
  <si>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</si>
  <si>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</si>
  <si>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</si>
  <si>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</si>
  <si>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</si>
  <si>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</si>
  <si>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</si>
  <si>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</si>
  <si>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</si>
  <si>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</si>
  <si>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</si>
  <si>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</si>
  <si>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</si>
  <si>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</si>
  <si>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</si>
  <si>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</si>
  <si>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</si>
  <si>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</si>
  <si>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</si>
  <si>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</si>
  <si>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</si>
  <si>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</si>
  <si>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</si>
  <si>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</si>
  <si>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</si>
  <si>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</si>
  <si>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</si>
  <si>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</si>
  <si>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</si>
  <si>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</si>
  <si>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</si>
  <si>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</si>
  <si>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</si>
  <si>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</si>
  <si>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</si>
  <si>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</si>
  <si>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</si>
  <si>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</si>
  <si>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</si>
  <si>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</si>
  <si>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</si>
  <si>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</si>
  <si>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</si>
  <si>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</si>
  <si>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</si>
  <si>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</si>
  <si>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</si>
  <si>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</si>
  <si>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</si>
  <si>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</si>
  <si>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</si>
  <si>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</si>
  <si>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</si>
  <si>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</si>
  <si>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</si>
  <si>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</si>
  <si>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</si>
  <si>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</si>
  <si>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</si>
  <si>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</si>
  <si>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</si>
  <si>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</si>
  <si>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</si>
  <si>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</si>
  <si>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</si>
  <si>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</si>
  <si>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</si>
  <si>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</si>
  <si>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</si>
  <si>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</si>
  <si>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</si>
  <si>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</si>
  <si>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</si>
  <si>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</si>
  <si>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</si>
  <si>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</si>
  <si>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</si>
  <si>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</si>
  <si>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</si>
  <si>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</si>
  <si>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</si>
  <si>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</si>
  <si>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</si>
  <si>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</si>
  <si>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</si>
  <si>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</si>
  <si>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</si>
  <si>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</si>
  <si>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</si>
  <si>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</si>
  <si>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</si>
  <si>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</si>
  <si>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</si>
  <si>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</si>
  <si>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</si>
  <si>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</si>
  <si>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</si>
  <si>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</si>
  <si>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</si>
  <si>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</si>
  <si>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</si>
  <si>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</si>
  <si>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</si>
  <si>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</si>
  <si>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</si>
  <si>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</si>
  <si>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</si>
  <si>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</si>
  <si>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</si>
  <si>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</si>
  <si>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</si>
  <si>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</si>
  <si>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</si>
  <si>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</si>
  <si>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</si>
  <si>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</si>
  <si>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</si>
  <si>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</si>
  <si>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</si>
  <si>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</si>
  <si>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</si>
  <si>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</si>
  <si>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</si>
  <si>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</si>
  <si>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</si>
  <si>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</si>
  <si>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</si>
  <si>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</si>
  <si>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</si>
  <si>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</si>
  <si>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</si>
  <si>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</si>
  <si>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</si>
  <si>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</si>
  <si>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</si>
  <si>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</si>
  <si>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</si>
  <si>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</si>
  <si>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</si>
  <si>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</si>
  <si>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</si>
  <si>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</si>
  <si>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</si>
  <si>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</si>
  <si>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</si>
  <si>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</si>
  <si>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</si>
  <si>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</si>
  <si>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</si>
  <si>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</si>
  <si>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</si>
  <si>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</si>
  <si>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</si>
  <si>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</si>
  <si>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</si>
  <si>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</si>
  <si>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</si>
  <si>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</si>
  <si>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</si>
  <si>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</si>
  <si>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</si>
  <si>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</si>
  <si>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</si>
  <si>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</si>
  <si>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</si>
  <si>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</si>
  <si>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</si>
  <si>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</si>
  <si>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</si>
  <si>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</si>
  <si>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</si>
  <si>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</si>
  <si>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</si>
  <si>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</si>
  <si>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</si>
  <si>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</si>
  <si>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</si>
  <si>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</si>
  <si>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</si>
  <si>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</si>
  <si>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</si>
  <si>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</si>
  <si>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</si>
  <si>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</si>
  <si>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</si>
  <si>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</si>
  <si>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</si>
  <si>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</si>
  <si>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</si>
  <si>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</si>
  <si>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</si>
  <si>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</si>
  <si>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</si>
  <si>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</si>
  <si>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</si>
  <si>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</si>
  <si>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</si>
  <si>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</si>
  <si>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</si>
  <si>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</si>
  <si>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</si>
  <si>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</si>
  <si>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</si>
  <si>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</si>
  <si>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</si>
  <si>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</si>
  <si>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</si>
  <si>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</si>
  <si>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</si>
  <si>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</si>
  <si>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</si>
  <si>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</si>
  <si>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</si>
  <si>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</si>
  <si>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</si>
  <si>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</si>
  <si>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</si>
  <si>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</si>
  <si>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</si>
  <si>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</si>
  <si>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</si>
  <si>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</si>
  <si>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</si>
  <si>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</si>
  <si>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</si>
  <si>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</si>
  <si>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</si>
  <si>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</si>
  <si>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</si>
  <si>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</si>
  <si>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</si>
  <si>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</si>
  <si>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</si>
  <si>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</si>
  <si>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</si>
  <si>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</si>
  <si>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</si>
  <si>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</si>
  <si>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</si>
  <si>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</si>
  <si>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</si>
  <si>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</si>
  <si>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</si>
  <si>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</si>
  <si>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</si>
  <si>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</si>
  <si>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</si>
  <si>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</si>
  <si>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</si>
  <si>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</si>
  <si>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</si>
  <si>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</si>
  <si>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</si>
  <si>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</si>
  <si>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</si>
  <si>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</si>
  <si>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</si>
  <si>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</si>
  <si>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</si>
  <si>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</si>
  <si>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</si>
  <si>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</si>
  <si>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</si>
  <si>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</si>
  <si>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</si>
  <si>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</si>
  <si>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</si>
  <si>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</si>
  <si>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</si>
  <si>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</si>
  <si>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</si>
  <si>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</si>
  <si>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</si>
  <si>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</si>
  <si>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</si>
  <si>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</si>
  <si>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</si>
  <si>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</si>
  <si>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</si>
  <si>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</si>
  <si>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</si>
  <si>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</si>
  <si>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</si>
  <si>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</si>
  <si>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</si>
  <si>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</si>
  <si>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</si>
  <si>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</si>
  <si>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</si>
  <si>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</si>
  <si>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</si>
  <si>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</si>
  <si>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</si>
  <si>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</si>
  <si>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</si>
  <si>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</si>
  <si>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</si>
  <si>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</si>
  <si>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</si>
  <si>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</si>
  <si>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</si>
  <si>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</si>
  <si>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</si>
  <si>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</si>
  <si>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</si>
  <si>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</si>
  <si>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</si>
  <si>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</si>
  <si>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</si>
  <si>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</si>
  <si>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</si>
  <si>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</si>
  <si>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</si>
  <si>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</si>
  <si>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</si>
  <si>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</si>
  <si>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</si>
  <si>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</si>
  <si>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</si>
  <si>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</si>
  <si>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</si>
  <si>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</si>
  <si>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</si>
  <si>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</si>
  <si>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</si>
  <si>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</si>
  <si>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</si>
  <si>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</si>
  <si>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</si>
  <si>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</si>
  <si>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</si>
  <si>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</si>
  <si>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</si>
  <si>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</si>
  <si>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</si>
  <si>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</si>
  <si>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</si>
  <si>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</si>
  <si>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</si>
  <si>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</si>
  <si>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</si>
  <si>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</si>
  <si>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</si>
  <si>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</si>
  <si>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</si>
  <si>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</si>
  <si>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</si>
  <si>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</si>
  <si>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</si>
  <si>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</si>
  <si>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</si>
  <si>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</si>
  <si>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</si>
  <si>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</si>
  <si>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</si>
  <si>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</si>
  <si>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</si>
  <si>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</si>
  <si>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</si>
  <si>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</si>
  <si>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</si>
  <si>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</si>
  <si>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</si>
  <si>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</si>
  <si>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</si>
  <si>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</si>
  <si>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</si>
  <si>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</si>
  <si>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</si>
  <si>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</si>
  <si>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</si>
  <si>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</si>
  <si>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</si>
  <si>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</si>
  <si>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</si>
  <si>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</si>
  <si>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</si>
  <si>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</si>
  <si>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</si>
  <si>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</si>
  <si>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</si>
  <si>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</si>
  <si>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</si>
  <si>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</si>
  <si>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</si>
  <si>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</si>
  <si>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</si>
  <si>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</si>
  <si>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</si>
  <si>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</si>
  <si>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</si>
  <si>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</si>
  <si>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</si>
  <si>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</si>
  <si>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</si>
  <si>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</si>
  <si>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</si>
  <si>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</si>
  <si>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</si>
  <si>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</si>
  <si>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</si>
  <si>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</si>
  <si>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</si>
  <si>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</si>
  <si>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</si>
  <si>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</si>
  <si>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</si>
  <si>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</si>
  <si>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</si>
  <si>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</si>
  <si>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</si>
  <si>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</si>
  <si>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</si>
  <si>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</si>
  <si>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</si>
  <si>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</si>
  <si>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</si>
  <si>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</si>
  <si>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</si>
  <si>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</si>
  <si>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</si>
  <si>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</si>
  <si>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</si>
  <si>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</si>
  <si>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</si>
  <si>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</si>
  <si>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</si>
  <si>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</si>
  <si>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</si>
  <si>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</si>
  <si>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</si>
  <si>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</si>
  <si>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</si>
  <si>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</si>
  <si>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</si>
  <si>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</si>
  <si>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</si>
  <si>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</si>
  <si>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</si>
  <si>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</si>
  <si>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</si>
  <si>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</si>
  <si>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</si>
  <si>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</si>
  <si>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</si>
  <si>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</si>
  <si>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</si>
  <si>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</si>
  <si>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</si>
  <si>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</si>
  <si>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</si>
  <si>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</si>
  <si>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</si>
  <si>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</si>
  <si>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</si>
  <si>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</si>
  <si>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</si>
  <si>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</si>
  <si>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</si>
  <si>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</si>
  <si>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</si>
  <si>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</si>
  <si>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</si>
  <si>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</si>
  <si>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</si>
  <si>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</si>
  <si>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</si>
  <si>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</si>
  <si>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</si>
  <si>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</si>
  <si>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</si>
  <si>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</si>
  <si>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</si>
  <si>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</si>
  <si>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</si>
  <si>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</si>
  <si>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</si>
  <si>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</si>
  <si>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</si>
  <si>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</si>
  <si>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</si>
  <si>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</si>
  <si>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</si>
  <si>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</si>
  <si>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</si>
  <si>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</si>
  <si>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</si>
  <si>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</si>
  <si>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</si>
  <si>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</si>
  <si>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</si>
  <si>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</si>
  <si>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</si>
  <si>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</si>
  <si>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</si>
  <si>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</si>
  <si>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</si>
  <si>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</si>
  <si>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</si>
  <si>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</si>
  <si>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</si>
  <si>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</si>
  <si>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</si>
  <si>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</si>
  <si>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</si>
  <si>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</si>
  <si>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</si>
  <si>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</si>
  <si>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</si>
  <si>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</si>
  <si>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</si>
  <si>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</si>
  <si>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</si>
  <si>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</si>
  <si>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</si>
  <si>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</si>
  <si>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</si>
  <si>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</si>
  <si>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</si>
  <si>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</si>
  <si>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</si>
  <si>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</si>
  <si>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</si>
  <si>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</si>
  <si>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</si>
  <si>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</si>
  <si>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</si>
  <si>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</si>
  <si>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</si>
  <si>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</si>
  <si>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</si>
  <si>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</si>
  <si>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</si>
  <si>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</si>
  <si>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</si>
  <si>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</si>
  <si>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</si>
  <si>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</si>
  <si>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</si>
  <si>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</si>
  <si>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</si>
  <si>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</si>
  <si>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</si>
  <si>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</si>
  <si>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</si>
  <si>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</si>
  <si>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</si>
  <si>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</si>
  <si>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</si>
  <si>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</si>
  <si>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</si>
  <si>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</si>
  <si>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</si>
  <si>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</si>
  <si>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</si>
  <si>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</si>
  <si>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</si>
  <si>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</si>
  <si>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</si>
  <si>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</si>
  <si>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</si>
  <si>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</si>
  <si>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</si>
  <si>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</si>
  <si>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</si>
  <si>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</si>
  <si>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</si>
  <si>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</si>
  <si>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</si>
  <si>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</si>
  <si>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</si>
  <si>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</si>
  <si>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</si>
  <si>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</si>
  <si>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</si>
  <si>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</si>
  <si>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</si>
  <si>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</si>
  <si>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</si>
  <si>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</si>
  <si>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</si>
  <si>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</si>
  <si>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</si>
  <si>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</si>
  <si>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</si>
  <si>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</si>
  <si>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</si>
  <si>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</si>
  <si>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</si>
  <si>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</si>
  <si>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</si>
  <si>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</si>
  <si>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</si>
  <si>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</si>
  <si>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</si>
  <si>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</si>
  <si>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</si>
  <si>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</si>
  <si>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</si>
  <si>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</si>
  <si>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</si>
  <si>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</si>
  <si>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</si>
  <si>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</si>
  <si>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</si>
  <si>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</si>
  <si>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</si>
  <si>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</si>
  <si>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</si>
  <si>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</si>
  <si>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</si>
  <si>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</si>
  <si>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</si>
  <si>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</si>
  <si>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</si>
  <si>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</si>
  <si>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</si>
  <si>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</si>
  <si>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</si>
  <si>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</si>
  <si>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</si>
  <si>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</si>
  <si>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</si>
  <si>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</si>
  <si>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</si>
  <si>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</si>
  <si>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</si>
  <si>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</si>
  <si>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</si>
  <si>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</si>
  <si>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</si>
  <si>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</si>
  <si>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</si>
  <si>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</si>
  <si>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</si>
  <si>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</si>
  <si>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</si>
  <si>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</si>
  <si>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</si>
  <si>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</si>
  <si>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</si>
  <si>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</si>
  <si>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</si>
  <si>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</si>
  <si>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</si>
  <si>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</si>
  <si>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</si>
  <si>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</si>
  <si>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</si>
  <si>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</si>
  <si>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</si>
  <si>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</si>
  <si>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</si>
  <si>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</si>
  <si>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</si>
  <si>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</si>
  <si>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</si>
  <si>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</si>
  <si>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</si>
  <si>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</si>
  <si>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</si>
  <si>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</si>
  <si>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</si>
  <si>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</si>
  <si>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</si>
  <si>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</si>
  <si>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</si>
  <si>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</si>
  <si>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</si>
  <si>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</si>
  <si>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</si>
  <si>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</si>
  <si>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</si>
  <si>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</si>
  <si>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</si>
  <si>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</si>
  <si>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</si>
  <si>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</si>
  <si>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</si>
  <si>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</si>
  <si>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</si>
  <si>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</si>
  <si>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</si>
  <si>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</si>
  <si>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</si>
  <si>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</si>
  <si>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</si>
  <si>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</si>
  <si>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</si>
  <si>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</si>
  <si>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</si>
  <si>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</si>
  <si>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</si>
  <si>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</si>
  <si>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</si>
  <si>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</si>
  <si>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</si>
  <si>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</si>
  <si>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</si>
  <si>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</si>
  <si>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</si>
  <si>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</si>
  <si>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</si>
  <si>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</si>
  <si>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</si>
  <si>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</si>
  <si>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</si>
  <si>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</si>
  <si>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</si>
  <si>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</si>
  <si>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</si>
  <si>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</si>
  <si>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</si>
  <si>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</si>
  <si>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</si>
  <si>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</si>
  <si>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</si>
  <si>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</si>
  <si>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</si>
  <si>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</si>
  <si>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</si>
  <si>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</si>
  <si>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</si>
  <si>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</si>
  <si>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</si>
  <si>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</si>
  <si>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</si>
  <si>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</si>
  <si>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</si>
  <si>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</si>
  <si>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</si>
  <si>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</si>
  <si>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</si>
  <si>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</si>
  <si>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</si>
  <si>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</si>
  <si>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</si>
  <si>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</si>
  <si>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</si>
  <si>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</si>
  <si>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</si>
  <si>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</si>
  <si>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</si>
  <si>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</si>
  <si>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</si>
  <si>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</si>
  <si>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</si>
  <si>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</si>
  <si>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</si>
  <si>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</si>
  <si>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</si>
  <si>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</si>
  <si>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</si>
  <si>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</si>
  <si>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</si>
  <si>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</si>
  <si>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</si>
  <si>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</si>
  <si>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</si>
  <si>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</si>
  <si>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</si>
  <si>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</si>
  <si>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</si>
  <si>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</si>
  <si>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</si>
  <si>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</si>
  <si>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</si>
  <si>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</si>
  <si>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</si>
  <si>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</si>
  <si>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</si>
  <si>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</si>
  <si>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</si>
  <si>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</si>
  <si>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</si>
  <si>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</si>
  <si>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</si>
  <si>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</si>
  <si>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</si>
  <si>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</si>
  <si>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</si>
  <si>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</si>
  <si>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</si>
  <si>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</si>
  <si>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</si>
  <si>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</si>
  <si>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</si>
  <si>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</si>
  <si>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</si>
  <si>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</si>
  <si>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</si>
  <si>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</si>
  <si>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</si>
  <si>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</si>
  <si>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</si>
  <si>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</si>
  <si>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</si>
  <si>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</si>
  <si>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</si>
  <si>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</si>
  <si>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</si>
  <si>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</si>
  <si>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</si>
  <si>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</si>
  <si>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</si>
  <si>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</si>
  <si>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</si>
  <si>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</si>
  <si>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</si>
  <si>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</si>
  <si>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</si>
  <si>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</si>
  <si>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</si>
  <si>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</si>
  <si>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</si>
  <si>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</si>
  <si>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</si>
  <si>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</si>
  <si>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</si>
  <si>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</si>
  <si>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</si>
  <si>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</si>
  <si>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</si>
  <si>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</si>
  <si>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</si>
  <si>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</si>
  <si>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</si>
  <si>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</si>
  <si>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</si>
  <si>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</si>
  <si>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</si>
  <si>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</si>
  <si>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</si>
  <si>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</si>
  <si>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</si>
  <si>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</si>
  <si>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</si>
  <si>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</si>
  <si>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</si>
  <si>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</si>
  <si>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</si>
  <si>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</si>
  <si>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</si>
  <si>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</si>
  <si>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</si>
  <si>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</si>
  <si>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</si>
  <si>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</si>
  <si>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</si>
  <si>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</si>
  <si>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</si>
  <si>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</si>
  <si>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</si>
  <si>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</si>
  <si>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</si>
  <si>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</si>
  <si>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</si>
  <si>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</si>
  <si>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</si>
  <si>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</si>
  <si>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</si>
  <si>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</si>
  <si>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</si>
  <si>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</si>
  <si>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</si>
  <si>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</si>
  <si>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</si>
  <si>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</si>
  <si>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</si>
  <si>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</si>
  <si>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</si>
  <si>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</si>
  <si>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</si>
  <si>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</si>
  <si>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</si>
  <si>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</si>
  <si>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</si>
  <si>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</si>
  <si>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</si>
  <si>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</si>
  <si>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</si>
  <si>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</si>
  <si>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</si>
  <si>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</si>
  <si>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</si>
  <si>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</si>
  <si>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</si>
  <si>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</si>
  <si>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</si>
  <si>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</si>
  <si>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</si>
  <si>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</si>
  <si>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</si>
  <si>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</si>
  <si>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</si>
  <si>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</si>
  <si>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</si>
  <si>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</si>
  <si>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</si>
  <si>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</si>
  <si>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</si>
  <si>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</si>
  <si>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</si>
  <si>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</si>
  <si>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</si>
  <si>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</si>
  <si>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</si>
  <si>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</si>
  <si>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</si>
  <si>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</si>
  <si>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</si>
  <si>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</si>
  <si>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</si>
  <si>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</si>
  <si>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</si>
  <si>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</si>
  <si>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</si>
  <si>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</si>
  <si>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</si>
  <si>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</si>
  <si>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</si>
  <si>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</si>
  <si>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</si>
  <si>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</si>
  <si>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</si>
  <si>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</si>
  <si>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</si>
  <si>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</si>
  <si>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</si>
  <si>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</si>
  <si>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</si>
  <si>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</si>
  <si>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</si>
  <si>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</si>
  <si>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</si>
  <si>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</si>
  <si>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</si>
  <si>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</si>
  <si>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</si>
  <si>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</si>
  <si>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</si>
  <si>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</si>
  <si>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</si>
  <si>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</si>
  <si>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</si>
  <si>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</si>
  <si>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</si>
  <si>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</si>
  <si>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</si>
  <si>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</si>
  <si>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</si>
  <si>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</si>
  <si>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</si>
  <si>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</si>
  <si>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</si>
  <si>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</si>
  <si>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</si>
  <si>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</si>
  <si>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</si>
  <si>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</si>
  <si>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</si>
  <si>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</si>
  <si>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</si>
  <si>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</si>
  <si>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</si>
  <si>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</si>
  <si>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</si>
  <si>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</si>
  <si>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</si>
  <si>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</si>
  <si>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</si>
  <si>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</si>
  <si>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</si>
  <si>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</si>
  <si>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</si>
  <si>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</si>
  <si>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</si>
  <si>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</si>
  <si>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</si>
  <si>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</si>
  <si>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</si>
  <si>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</si>
  <si>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</si>
  <si>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</si>
  <si>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</si>
  <si>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</si>
  <si>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</si>
  <si>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</si>
  <si>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</si>
  <si>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</si>
  <si>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</si>
  <si>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</si>
  <si>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</si>
  <si>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</si>
  <si>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</si>
  <si>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</si>
  <si>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</si>
  <si>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</si>
  <si>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</si>
  <si>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</si>
  <si>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</si>
  <si>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</si>
  <si>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</si>
  <si>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</si>
  <si>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</si>
  <si>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</si>
  <si>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</si>
  <si>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</si>
  <si>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</si>
  <si>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</si>
  <si>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</si>
  <si>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</si>
  <si>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</si>
  <si>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</si>
  <si>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</si>
  <si>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</si>
  <si>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</si>
  <si>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</si>
  <si>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</si>
  <si>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</si>
  <si>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</si>
  <si>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</si>
  <si>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</si>
  <si>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</si>
  <si>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</si>
  <si>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</si>
  <si>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</si>
  <si>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</si>
  <si>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</si>
  <si>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</si>
  <si>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</si>
  <si>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</si>
  <si>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</si>
  <si>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</si>
  <si>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</si>
  <si>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</si>
  <si>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</si>
  <si>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</si>
  <si>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</si>
  <si>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</si>
  <si>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</si>
  <si>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</si>
  <si>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</si>
  <si>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</si>
  <si>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</si>
  <si>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</si>
  <si>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</si>
  <si>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</si>
  <si>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</si>
  <si>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</si>
  <si>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</si>
  <si>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</si>
  <si>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</si>
  <si>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</si>
  <si>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</si>
  <si>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</si>
  <si>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</si>
  <si>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</si>
  <si>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</si>
  <si>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</si>
  <si>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</si>
  <si>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</si>
  <si>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</si>
  <si>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</si>
  <si>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</si>
  <si>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</si>
  <si>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</si>
  <si>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</si>
  <si>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</si>
  <si>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</si>
  <si>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</si>
  <si>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</si>
  <si>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</si>
  <si>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</si>
  <si>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</si>
  <si>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</si>
  <si>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</si>
  <si>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</si>
  <si>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</si>
  <si>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</si>
  <si>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</si>
  <si>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</si>
  <si>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</si>
  <si>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</si>
  <si>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</si>
  <si>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</si>
  <si>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</si>
  <si>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</si>
  <si>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</si>
  <si>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</si>
  <si>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</si>
  <si>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</si>
  <si>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</si>
  <si>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</si>
  <si>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</si>
  <si>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</si>
  <si>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</si>
  <si>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</si>
  <si>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</si>
  <si>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</si>
  <si>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</si>
  <si>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</si>
  <si>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</si>
  <si>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</si>
  <si>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</si>
  <si>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</si>
  <si>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</si>
  <si>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</si>
  <si>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</si>
  <si>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</si>
  <si>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</si>
  <si>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</si>
  <si>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</si>
  <si>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</si>
  <si>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</si>
  <si>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</si>
  <si>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</si>
  <si>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</si>
  <si>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</si>
  <si>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</si>
  <si>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</si>
  <si>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</si>
  <si>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</si>
  <si>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</si>
  <si>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</si>
  <si>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</si>
  <si>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</si>
  <si>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</si>
  <si>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</si>
  <si>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</si>
  <si>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</si>
  <si>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</si>
  <si>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</si>
  <si>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</si>
  <si>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</si>
  <si>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</si>
  <si>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</si>
  <si>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</si>
  <si>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</si>
  <si>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</si>
  <si>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</si>
  <si>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</si>
  <si>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</si>
  <si>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</si>
  <si>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</si>
  <si>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</si>
  <si>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</si>
  <si>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</si>
  <si>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</si>
  <si>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</si>
  <si>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</si>
  <si>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</si>
  <si>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</si>
  <si>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</si>
  <si>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</si>
  <si>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</si>
  <si>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</si>
  <si>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</si>
  <si>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</si>
  <si>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</si>
  <si>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</si>
  <si>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</si>
  <si>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</si>
  <si>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</si>
  <si>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</si>
  <si>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</si>
  <si>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</si>
  <si>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</si>
  <si>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</si>
  <si>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</si>
  <si>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</si>
  <si>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</si>
  <si>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</si>
  <si>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</si>
  <si>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</si>
  <si>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</si>
  <si>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</si>
  <si>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</si>
  <si>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</si>
  <si>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</si>
  <si>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</si>
  <si>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</si>
  <si>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</si>
  <si>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</si>
  <si>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</si>
  <si>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</si>
  <si>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</si>
  <si>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</si>
  <si>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</si>
  <si>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</si>
  <si>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</si>
  <si>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</si>
  <si>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</si>
  <si>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</si>
  <si>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</si>
  <si>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</si>
  <si>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</si>
  <si>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</si>
  <si>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</si>
  <si>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</si>
  <si>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</si>
  <si>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</si>
  <si>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</si>
  <si>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</si>
  <si>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</si>
  <si>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</si>
  <si>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</si>
  <si>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</si>
  <si>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</si>
  <si>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</si>
  <si>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</si>
  <si>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</si>
  <si>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</si>
  <si>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</si>
  <si>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</si>
  <si>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</si>
  <si>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</si>
  <si>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</si>
  <si>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</si>
  <si>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</si>
  <si>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</si>
  <si>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</si>
  <si>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</si>
  <si>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</si>
  <si>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</si>
  <si>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</si>
  <si>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</si>
  <si>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</si>
  <si>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</si>
  <si>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</si>
  <si>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</si>
  <si>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</si>
  <si>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</si>
  <si>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</si>
  <si>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</si>
  <si>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</si>
  <si>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</si>
  <si>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</si>
  <si>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</si>
  <si>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</si>
  <si>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</si>
  <si>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</si>
  <si>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</si>
  <si>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</si>
  <si>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</si>
  <si>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</si>
  <si>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</si>
  <si>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</si>
  <si>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</si>
  <si>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</si>
  <si>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</si>
  <si>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</si>
  <si>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</si>
  <si>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</si>
  <si>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</si>
  <si>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</si>
  <si>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</si>
  <si>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</si>
  <si>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</si>
  <si>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</si>
  <si>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</si>
  <si>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</si>
  <si>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</si>
  <si>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</si>
  <si>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</si>
  <si>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</si>
  <si>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</si>
  <si>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</si>
  <si>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</si>
  <si>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</si>
  <si>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</si>
  <si>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</si>
  <si>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</si>
  <si>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</si>
  <si>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</si>
  <si>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</si>
  <si>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</si>
  <si>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</si>
  <si>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</si>
  <si>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</si>
  <si>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</si>
  <si>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</si>
  <si>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</si>
  <si>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</si>
  <si>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</si>
  <si>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</si>
  <si>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</si>
  <si>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</si>
  <si>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</si>
  <si>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</si>
  <si>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</si>
  <si>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</si>
  <si>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</si>
  <si>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</si>
  <si>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</si>
  <si>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</si>
  <si>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</si>
  <si>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</si>
  <si>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</si>
  <si>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</si>
  <si>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</si>
  <si>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</si>
  <si>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</si>
  <si>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</si>
  <si>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</si>
  <si>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</si>
  <si>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</si>
  <si>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</si>
  <si>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</si>
  <si>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</si>
  <si>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</si>
  <si>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</si>
  <si>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</si>
  <si>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</si>
  <si>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</si>
  <si>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</si>
  <si>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</si>
  <si>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</si>
  <si>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</si>
  <si>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</si>
  <si>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</si>
  <si>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</si>
  <si>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</si>
  <si>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</si>
  <si>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</si>
  <si>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</si>
  <si>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</si>
  <si>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</si>
  <si>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</si>
  <si>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</si>
  <si>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</si>
  <si>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</si>
  <si>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</si>
  <si>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</si>
  <si>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</si>
  <si>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</si>
  <si>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</si>
  <si>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</si>
  <si>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</si>
  <si>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</si>
  <si>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</si>
  <si>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</si>
  <si>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</si>
  <si>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</si>
  <si>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</si>
  <si>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</si>
  <si>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</si>
  <si>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</si>
  <si>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</si>
  <si>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</si>
  <si>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</si>
  <si>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</si>
  <si>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</si>
  <si>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</si>
  <si>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</si>
  <si>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</si>
  <si>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</si>
  <si>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</si>
  <si>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</si>
  <si>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</si>
  <si>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</si>
  <si>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</si>
  <si>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</si>
  <si>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</si>
  <si>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</si>
  <si>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</si>
  <si>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</si>
  <si>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</si>
  <si>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</si>
  <si>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</si>
  <si>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</si>
  <si>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</si>
  <si>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</si>
  <si>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</si>
  <si>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</si>
  <si>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</si>
  <si>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</si>
  <si>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</si>
  <si>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</si>
  <si>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</si>
  <si>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</si>
  <si>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</si>
  <si>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</si>
  <si>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</si>
  <si>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</si>
  <si>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</si>
  <si>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</si>
  <si>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</si>
  <si>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</si>
  <si>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</si>
  <si>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</si>
  <si>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</si>
  <si>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</si>
  <si>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</si>
  <si>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</si>
  <si>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</si>
  <si>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</si>
  <si>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</si>
  <si>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</si>
  <si>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</si>
  <si>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</si>
  <si>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</si>
  <si>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</si>
  <si>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</si>
  <si>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</si>
  <si>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</si>
  <si>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</si>
  <si>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</si>
  <si>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</si>
  <si>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</si>
  <si>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</si>
  <si>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</si>
  <si>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</si>
  <si>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</si>
  <si>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</si>
  <si>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</si>
  <si>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</si>
  <si>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</si>
  <si>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</si>
  <si>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</si>
  <si>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</si>
  <si>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</si>
  <si>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</si>
  <si>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</si>
  <si>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</si>
  <si>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</si>
  <si>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</si>
  <si>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</si>
  <si>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</si>
  <si>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</si>
  <si>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</si>
  <si>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</si>
  <si>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</si>
  <si>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</si>
  <si>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</si>
  <si>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</si>
  <si>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</si>
  <si>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</si>
  <si>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</si>
  <si>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</si>
  <si>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</si>
  <si>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</si>
  <si>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</si>
  <si>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</si>
  <si>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</si>
  <si>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</si>
  <si>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</si>
  <si>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</si>
  <si>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</si>
  <si>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</si>
  <si>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</si>
  <si>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</si>
  <si>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</si>
  <si>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</si>
  <si>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</si>
  <si>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</si>
  <si>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</si>
  <si>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</si>
  <si>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</si>
  <si>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</si>
  <si>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</si>
  <si>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</si>
  <si>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</si>
  <si>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</si>
  <si>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</si>
  <si>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</si>
  <si>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</si>
  <si>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</si>
  <si>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</si>
  <si>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</si>
  <si>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</si>
  <si>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</si>
  <si>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</si>
  <si>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</si>
  <si>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</si>
  <si>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</si>
  <si>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</si>
  <si>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</si>
  <si>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</si>
  <si>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</si>
  <si>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</si>
  <si>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</si>
  <si>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</si>
  <si>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</si>
  <si>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</si>
  <si>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</si>
  <si>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</si>
  <si>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</si>
  <si>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</si>
  <si>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</si>
  <si>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</si>
  <si>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</si>
  <si>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</si>
  <si>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</si>
  <si>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</si>
  <si>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</si>
  <si>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</si>
  <si>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</si>
  <si>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</si>
  <si>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</si>
  <si>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</si>
  <si>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</si>
  <si>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</si>
  <si>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</si>
  <si>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</si>
  <si>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</si>
  <si>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</si>
  <si>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</si>
  <si>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</si>
  <si>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</si>
  <si>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</si>
  <si>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</si>
  <si>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</si>
  <si>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</si>
  <si>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</si>
  <si>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</si>
  <si>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</si>
  <si>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</si>
  <si>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</si>
  <si>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</si>
  <si>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</si>
  <si>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</si>
  <si>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</si>
  <si>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</si>
  <si>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</si>
  <si>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</si>
  <si>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</si>
  <si>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</si>
  <si>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</si>
  <si>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</si>
  <si>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</si>
  <si>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</si>
  <si>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</si>
  <si>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</si>
  <si>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</si>
  <si>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</si>
  <si>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</si>
  <si>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</si>
  <si>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</si>
  <si>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</si>
  <si>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</si>
  <si>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</si>
  <si>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</si>
  <si>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</si>
  <si>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</si>
  <si>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</si>
  <si>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</si>
  <si>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</si>
  <si>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</si>
  <si>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</si>
  <si>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</si>
  <si>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</si>
  <si>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</si>
  <si>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</si>
  <si>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</si>
  <si>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</si>
  <si>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</si>
  <si>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</si>
  <si>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</si>
  <si>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</si>
  <si>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</si>
  <si>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</si>
  <si>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</si>
  <si>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</si>
  <si>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</si>
  <si>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</si>
  <si>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</si>
  <si>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</si>
  <si>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</si>
  <si>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</si>
  <si>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</si>
  <si>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</si>
  <si>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</si>
  <si>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</si>
  <si>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</si>
  <si>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</si>
  <si>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</si>
  <si>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</si>
  <si>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</si>
  <si>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</si>
  <si>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</si>
  <si>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</si>
  <si>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</si>
  <si>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</si>
  <si>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</si>
  <si>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</si>
  <si>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</si>
  <si>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</si>
  <si>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</si>
  <si>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</si>
  <si>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</si>
  <si>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</si>
  <si>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</si>
  <si>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</si>
  <si>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</si>
  <si>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</si>
  <si>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</si>
  <si>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</si>
  <si>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</si>
  <si>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</si>
  <si>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</si>
  <si>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</si>
  <si>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</si>
  <si>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</si>
  <si>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</si>
  <si>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</si>
  <si>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</si>
  <si>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</si>
  <si>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</si>
  <si>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</si>
  <si>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</si>
  <si>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</si>
  <si>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</si>
  <si>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</si>
  <si>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</si>
  <si>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</si>
  <si>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</si>
  <si>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</si>
  <si>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</si>
  <si>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</si>
  <si>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</si>
  <si>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</si>
  <si>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</si>
  <si>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</si>
  <si>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</si>
  <si>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</si>
  <si>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</si>
  <si>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</si>
  <si>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</si>
  <si>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</si>
  <si>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</si>
  <si>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</si>
  <si>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</si>
  <si>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</si>
  <si>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</si>
  <si>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</si>
  <si>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</si>
  <si>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</si>
  <si>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</si>
  <si>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</si>
  <si>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</si>
  <si>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</si>
  <si>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</si>
  <si>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</si>
  <si>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</si>
  <si>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</si>
  <si>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</si>
  <si>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</si>
  <si>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</si>
  <si>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</si>
  <si>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</si>
  <si>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</si>
  <si>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</si>
  <si>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</si>
  <si>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</si>
  <si>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</si>
  <si>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</si>
  <si>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</si>
  <si>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</si>
  <si>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</si>
  <si>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</si>
  <si>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</si>
  <si>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</si>
  <si>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</si>
  <si>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</si>
  <si>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</si>
  <si>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</si>
  <si>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</si>
  <si>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</si>
  <si>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</si>
  <si>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</si>
  <si>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</si>
  <si>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</si>
  <si>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</si>
  <si>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</si>
  <si>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</si>
  <si>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</si>
  <si>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</si>
  <si>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</si>
  <si>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</si>
  <si>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</si>
  <si>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</si>
  <si>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</si>
  <si>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</si>
  <si>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</si>
  <si>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</si>
  <si>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</si>
  <si>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</si>
  <si>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</si>
  <si>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</si>
  <si>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</si>
  <si>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</si>
  <si>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</si>
  <si>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</si>
  <si>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</si>
  <si>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</si>
  <si>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</si>
  <si>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</si>
  <si>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</si>
  <si>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</si>
  <si>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</si>
  <si>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</si>
  <si>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</si>
  <si>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</si>
  <si>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</si>
  <si>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</si>
  <si>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</si>
  <si>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</si>
  <si>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</si>
  <si>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</si>
  <si>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</si>
  <si>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</si>
  <si>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</si>
  <si>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</si>
  <si>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</si>
  <si>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</si>
  <si>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</si>
  <si>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</si>
  <si>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</si>
  <si>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</si>
  <si>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</si>
  <si>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</si>
  <si>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</si>
  <si>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</si>
  <si>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</si>
  <si>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</si>
  <si>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</si>
  <si>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</si>
  <si>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</si>
  <si>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</si>
  <si>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</si>
  <si>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</si>
  <si>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</si>
  <si>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</si>
  <si>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</si>
  <si>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</si>
  <si>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</si>
  <si>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</si>
  <si>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</si>
  <si>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</si>
  <si>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</si>
  <si>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</si>
  <si>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</si>
  <si>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</si>
  <si>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</si>
  <si>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</si>
  <si>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</si>
  <si>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</si>
  <si>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</si>
  <si>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</si>
  <si>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</si>
  <si>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</si>
  <si>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</si>
  <si>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</si>
  <si>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</si>
  <si>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</si>
  <si>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</si>
  <si>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</si>
  <si>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</si>
  <si>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</si>
  <si>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</si>
  <si>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</si>
  <si>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</si>
  <si>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</si>
  <si>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</si>
  <si>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</si>
  <si>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</si>
  <si>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</si>
  <si>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</si>
  <si>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</si>
  <si>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</si>
  <si>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</si>
  <si>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</si>
  <si>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</si>
  <si>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</si>
  <si>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</si>
  <si>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</si>
  <si>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</si>
  <si>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</si>
  <si>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</si>
  <si>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</si>
  <si>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</si>
  <si>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</si>
  <si>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</si>
  <si>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</si>
  <si>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</si>
  <si>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</si>
  <si>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</si>
  <si>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</si>
  <si>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</si>
  <si>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</si>
  <si>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</si>
  <si>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</si>
  <si>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</si>
  <si>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</si>
  <si>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</si>
  <si>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</si>
  <si>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</si>
  <si>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</si>
  <si>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</si>
  <si>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</si>
  <si>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</si>
  <si>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</si>
  <si>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</si>
  <si>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</si>
  <si>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</si>
  <si>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</si>
  <si>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</si>
  <si>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</si>
  <si>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</si>
  <si>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</si>
  <si>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</si>
  <si>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</si>
  <si>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</si>
  <si>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</si>
  <si>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</si>
  <si>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</si>
  <si>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</si>
  <si>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</si>
  <si>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</si>
  <si>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</si>
  <si>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</si>
  <si>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</si>
  <si>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</si>
  <si>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</si>
  <si>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</si>
  <si>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</si>
  <si>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</si>
  <si>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</si>
  <si>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</si>
  <si>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</si>
  <si>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</si>
  <si>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</si>
  <si>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</si>
  <si>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</si>
  <si>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</si>
  <si>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</si>
  <si>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</si>
  <si>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</si>
  <si>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</si>
  <si>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</si>
  <si>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</si>
  <si>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</si>
  <si>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</si>
  <si>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</si>
  <si>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</si>
  <si>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</si>
  <si>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</si>
  <si>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</si>
  <si>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</si>
  <si>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</si>
  <si>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</si>
  <si>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</si>
  <si>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</si>
  <si>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</si>
  <si>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</si>
  <si>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</si>
  <si>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</si>
  <si>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</si>
  <si>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</si>
  <si>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</si>
  <si>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</si>
  <si>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</si>
  <si>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</si>
  <si>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</si>
  <si>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</si>
  <si>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</si>
  <si>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</si>
  <si>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</si>
  <si>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</si>
  <si>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</si>
  <si>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</si>
  <si>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</si>
  <si>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</si>
  <si>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</si>
  <si>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</si>
  <si>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</si>
  <si>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</si>
  <si>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</si>
  <si>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</si>
  <si>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</si>
  <si>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</si>
  <si>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</si>
  <si>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</si>
  <si>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</si>
  <si>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</si>
  <si>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</si>
  <si>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</si>
  <si>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</si>
  <si>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</si>
  <si>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</si>
  <si>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</si>
  <si>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</si>
  <si>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</si>
  <si>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</si>
  <si>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</si>
  <si>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</si>
  <si>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</si>
  <si>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</si>
  <si>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</si>
  <si>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</si>
  <si>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</si>
  <si>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</si>
  <si>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</si>
  <si>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</si>
  <si>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</si>
  <si>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</si>
  <si>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</si>
  <si>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</si>
  <si>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</si>
  <si>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</si>
  <si>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</si>
  <si>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</si>
  <si>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</si>
  <si>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</si>
  <si>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</si>
  <si>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</si>
  <si>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</si>
  <si>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</si>
  <si>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</si>
  <si>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</si>
  <si>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</si>
  <si>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</si>
  <si>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</si>
  <si>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</si>
  <si>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</si>
  <si>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</si>
  <si>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</si>
  <si>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</si>
  <si>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</si>
  <si>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</si>
  <si>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</si>
  <si>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</si>
  <si>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</si>
  <si>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</si>
  <si>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</si>
  <si>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</si>
  <si>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</si>
  <si>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</si>
  <si>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</si>
  <si>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</si>
  <si>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</si>
  <si>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</si>
  <si>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</si>
  <si>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</si>
  <si>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</si>
  <si>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</si>
  <si>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</si>
  <si>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</si>
  <si>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</si>
  <si>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</si>
  <si>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</si>
  <si>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</si>
  <si>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</si>
  <si>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</si>
  <si>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</si>
  <si>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</si>
  <si>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</si>
  <si>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</si>
  <si>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</si>
  <si>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</si>
  <si>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</si>
  <si>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</si>
  <si>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</si>
  <si>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</si>
  <si>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</si>
  <si>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</si>
  <si>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</si>
  <si>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</si>
  <si>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</si>
  <si>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</si>
  <si>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</si>
  <si>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</si>
  <si>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</si>
  <si>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</si>
  <si>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</si>
  <si>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</si>
  <si>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</si>
  <si>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</si>
  <si>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</si>
  <si>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</si>
  <si>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</si>
  <si>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</si>
  <si>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</si>
  <si>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</si>
  <si>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</si>
  <si>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</si>
  <si>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</si>
  <si>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</si>
  <si>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</si>
  <si>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</si>
  <si>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</si>
  <si>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</si>
  <si>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</si>
  <si>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</si>
  <si>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</si>
  <si>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</si>
  <si>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</si>
  <si>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</si>
  <si>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</si>
  <si>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</si>
  <si>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</si>
  <si>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</si>
  <si>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</si>
  <si>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</si>
  <si>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</si>
  <si>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</si>
  <si>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</si>
  <si>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</si>
  <si>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</si>
  <si>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</si>
  <si>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</si>
  <si>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</si>
  <si>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</si>
  <si>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</si>
  <si>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</si>
  <si>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</si>
  <si>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</si>
  <si>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</si>
  <si>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</si>
  <si>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</si>
  <si>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</si>
  <si>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</si>
  <si>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</si>
  <si>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</si>
  <si>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</si>
  <si>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</si>
  <si>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</si>
  <si>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</si>
  <si>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</si>
  <si>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</si>
  <si>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</si>
  <si>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</si>
  <si>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</si>
  <si>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</si>
  <si>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</si>
  <si>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</si>
  <si>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</si>
  <si>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</si>
  <si>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</si>
  <si>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</si>
  <si>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</si>
  <si>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</si>
  <si>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</si>
  <si>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</si>
  <si>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</si>
  <si>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</si>
  <si>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</si>
  <si>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</si>
  <si>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</si>
  <si>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</si>
  <si>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</si>
  <si>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</si>
  <si>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</si>
  <si>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</si>
  <si>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</si>
  <si>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</si>
  <si>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</si>
  <si>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</si>
  <si>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</si>
  <si>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</si>
  <si>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</si>
  <si>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</si>
  <si>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</si>
  <si>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</si>
  <si>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</si>
  <si>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</si>
  <si>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</si>
  <si>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</si>
  <si>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</si>
  <si>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</si>
  <si>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</si>
  <si>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</si>
  <si>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</si>
  <si>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</si>
  <si>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</si>
  <si>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</si>
  <si>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</si>
  <si>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</si>
  <si>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</si>
  <si>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</si>
  <si>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</si>
  <si>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</si>
  <si>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</si>
  <si>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</si>
  <si>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</si>
  <si>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</si>
  <si>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</si>
  <si>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</si>
  <si>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</si>
  <si>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</si>
  <si>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</si>
  <si>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</si>
  <si>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</si>
  <si>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</si>
  <si>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</si>
  <si>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</si>
  <si>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</si>
  <si>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</si>
  <si>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</si>
  <si>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</si>
  <si>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</si>
  <si>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</si>
  <si>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</si>
  <si>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</si>
  <si>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</si>
  <si>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</si>
  <si>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</si>
  <si>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</si>
  <si>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</si>
  <si>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</si>
  <si>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</si>
  <si>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</si>
  <si>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</si>
  <si>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</si>
  <si>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</si>
  <si>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</si>
  <si>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</si>
  <si>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</si>
  <si>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</si>
  <si>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</si>
  <si>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</si>
  <si>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</si>
  <si>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</si>
  <si>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</si>
  <si>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</si>
  <si>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</si>
  <si>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</si>
  <si>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</si>
  <si>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</si>
  <si>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</si>
  <si>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</si>
  <si>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</si>
  <si>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</si>
  <si>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</si>
  <si>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</si>
  <si>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</si>
  <si>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</si>
  <si>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</si>
  <si>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</si>
  <si>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</si>
  <si>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</si>
  <si>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</si>
  <si>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</si>
  <si>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</si>
  <si>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</si>
  <si>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</si>
  <si>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</si>
  <si>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</si>
  <si>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</si>
  <si>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</si>
  <si>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</si>
  <si>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</si>
  <si>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</si>
  <si>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</si>
  <si>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</si>
  <si>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</si>
  <si>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</si>
  <si>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</si>
  <si>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</si>
  <si>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</si>
  <si>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</si>
  <si>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</si>
  <si>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</si>
  <si>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</si>
  <si>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</si>
  <si>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</si>
  <si>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</si>
  <si>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</si>
  <si>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</si>
  <si>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</si>
  <si>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</si>
  <si>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</si>
  <si>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</si>
  <si>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</si>
  <si>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</si>
  <si>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</si>
  <si>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</si>
  <si>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</si>
  <si>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</si>
  <si>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</si>
  <si>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</si>
  <si>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</si>
  <si>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</si>
  <si>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</si>
  <si>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</si>
  <si>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</si>
  <si>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</si>
  <si>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</si>
  <si>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</si>
  <si>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</si>
  <si>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</si>
  <si>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</si>
  <si>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</si>
  <si>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</si>
  <si>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</si>
  <si>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</si>
  <si>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</si>
  <si>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</si>
  <si>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</si>
  <si>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</si>
  <si>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</si>
  <si>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</si>
  <si>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90943600495</t>
  </si>
  <si>
    <t>01689436</t>
  </si>
  <si>
    <t>040179222</t>
  </si>
  <si>
    <t>AZRRI - Agencija za ruralni razvoj Istre d.o.o.</t>
  </si>
  <si>
    <t>PAZIN</t>
  </si>
  <si>
    <t>Ulica prof. Tugomila Ujčića 1</t>
  </si>
  <si>
    <t>info@azrri.hr</t>
  </si>
  <si>
    <t>www.azrri.hr</t>
  </si>
  <si>
    <t>052/351-570</t>
  </si>
  <si>
    <t>Jurman Sanja</t>
  </si>
  <si>
    <t>052/351-572</t>
  </si>
  <si>
    <t>Igor Merlić</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</si>
  <si>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</si>
  <si>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</si>
  <si>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</si>
  <si>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</si>
  <si>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</si>
  <si>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</si>
  <si>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</si>
  <si>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</si>
  <si>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</si>
  <si>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</si>
  <si>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</si>
  <si>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</si>
  <si>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</si>
  <si>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</si>
  <si>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</si>
  <si>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</si>
  <si>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</si>
  <si>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</si>
  <si>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</si>
  <si>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</si>
  <si>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</si>
  <si>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</si>
  <si>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</si>
  <si>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</si>
  <si>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</si>
  <si>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</si>
  <si>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</si>
  <si>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</si>
  <si>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</si>
  <si>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</si>
  <si>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</si>
  <si>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</si>
  <si>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</si>
  <si>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</si>
  <si>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</si>
  <si>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</si>
  <si>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</si>
  <si>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</si>
  <si>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</si>
  <si>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</si>
  <si>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</si>
  <si>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</si>
  <si>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56788189835</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</si>
</sst>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9" fontId="0" fillId="0" borderId="0" applyFont="0" applyFill="0" applyBorder="0" applyAlignment="0" applyProtection="0"/>
    <xf numFmtId="0" fontId="88" fillId="0" borderId="7" applyNumberFormat="0" applyFill="0" applyAlignment="0" applyProtection="0"/>
    <xf numFmtId="0" fontId="5"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1672674</v>
      </c>
      <c r="I3" s="31">
        <f>ABS(ROUND(J3,0)-J3)+ABS(ROUND(K3,0)-K3)</f>
        <v>0</v>
      </c>
      <c r="J3" s="31">
        <f>Bilanca!I10</f>
        <v>31347892</v>
      </c>
      <c r="K3" s="31">
        <f>Bilanca!J10</f>
        <v>26142904</v>
      </c>
    </row>
    <row r="4" spans="1:11" ht="12.75">
      <c r="A4" s="4" t="s">
        <v>1088</v>
      </c>
      <c r="B4" s="29" t="s">
        <v>1888</v>
      </c>
      <c r="D4" s="4" t="s">
        <v>1521</v>
      </c>
      <c r="E4" s="4">
        <v>1</v>
      </c>
      <c r="F4" s="4">
        <f>Bilanca!G11</f>
        <v>3</v>
      </c>
      <c r="G4" s="4">
        <f>IF(Bilanca!H11=0,"",Bilanca!H11)</f>
      </c>
      <c r="H4" s="30">
        <f>J4/100*F4+2*K4/100*F4</f>
        <v>222569.63999999998</v>
      </c>
      <c r="I4" s="31">
        <f>ABS(ROUND(J4,0)-J4)+ABS(ROUND(K4,0)-K4)</f>
        <v>0</v>
      </c>
      <c r="J4" s="31">
        <f>Bilanca!I11</f>
        <v>3932934</v>
      </c>
      <c r="K4" s="31">
        <f>Bilanca!J11</f>
        <v>1743027</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01689436</v>
      </c>
      <c r="D6" s="4" t="s">
        <v>1521</v>
      </c>
      <c r="E6" s="4">
        <v>1</v>
      </c>
      <c r="F6" s="4">
        <f>Bilanca!G13</f>
        <v>5</v>
      </c>
      <c r="G6" s="4" t="str">
        <f>IF(Bilanca!H13=0,"",Bilanca!H13)</f>
        <v>1</v>
      </c>
      <c r="H6" s="30">
        <f aca="true" t="shared" si="0" ref="H6:H45">J6/100*F6+2*K6/100*F6</f>
        <v>76541.75</v>
      </c>
      <c r="I6" s="31">
        <f aca="true" t="shared" si="1" ref="I6:I45">ABS(ROUND(J6,0)-J6)+ABS(ROUND(K6,0)-K6)</f>
        <v>0</v>
      </c>
      <c r="J6" s="31">
        <f>Bilanca!I13</f>
        <v>1530835</v>
      </c>
      <c r="K6" s="31">
        <f>Bilanca!J13</f>
        <v>0</v>
      </c>
    </row>
    <row r="7" spans="1:11" ht="12.75">
      <c r="A7" s="4" t="s">
        <v>2353</v>
      </c>
      <c r="B7" s="29" t="str">
        <f>RefStr!M27</f>
        <v>040179222</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90943600495</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AZRRI - Agencija za ruralni razvoj Istre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52000</v>
      </c>
      <c r="D10" s="4" t="s">
        <v>1521</v>
      </c>
      <c r="E10" s="4">
        <v>1</v>
      </c>
      <c r="F10" s="4">
        <f>Bilanca!G17</f>
        <v>9</v>
      </c>
      <c r="G10" s="4" t="str">
        <f>IF(Bilanca!H17=0,"",Bilanca!H17)</f>
        <v>2</v>
      </c>
      <c r="H10" s="30">
        <f t="shared" si="0"/>
        <v>529933.77</v>
      </c>
      <c r="I10" s="31">
        <f t="shared" si="1"/>
        <v>0</v>
      </c>
      <c r="J10" s="31">
        <f>Bilanca!I17</f>
        <v>2402099</v>
      </c>
      <c r="K10" s="31">
        <f>Bilanca!J17</f>
        <v>1743027</v>
      </c>
    </row>
    <row r="11" spans="1:11" ht="12.75">
      <c r="A11" s="4" t="s">
        <v>2356</v>
      </c>
      <c r="B11" s="29" t="str">
        <f>TRIM(RefStr!F31)</f>
        <v>PAZIN</v>
      </c>
      <c r="D11" s="4" t="s">
        <v>1521</v>
      </c>
      <c r="E11" s="4">
        <v>1</v>
      </c>
      <c r="F11" s="4">
        <f>Bilanca!G18</f>
        <v>10</v>
      </c>
      <c r="G11" s="4">
        <f>IF(Bilanca!H18=0,"",Bilanca!H18)</f>
      </c>
      <c r="H11" s="30">
        <f t="shared" si="0"/>
        <v>6689569.6</v>
      </c>
      <c r="I11" s="31">
        <f t="shared" si="1"/>
        <v>0</v>
      </c>
      <c r="J11" s="31">
        <f>Bilanca!I18</f>
        <v>23804946</v>
      </c>
      <c r="K11" s="31">
        <f>Bilanca!J18</f>
        <v>21545375</v>
      </c>
    </row>
    <row r="12" spans="1:11" ht="12.75">
      <c r="A12" s="4" t="s">
        <v>2357</v>
      </c>
      <c r="B12" s="29" t="str">
        <f>TRIM(RefStr!C33)</f>
        <v>Ulica prof. Tugomila Ujčića 1</v>
      </c>
      <c r="D12" s="4" t="s">
        <v>1521</v>
      </c>
      <c r="E12" s="4">
        <v>1</v>
      </c>
      <c r="F12" s="4">
        <f>Bilanca!G19</f>
        <v>11</v>
      </c>
      <c r="G12" s="4" t="str">
        <f>IF(Bilanca!H19=0,"",Bilanca!H19)</f>
        <v>3</v>
      </c>
      <c r="H12" s="30">
        <f t="shared" si="0"/>
        <v>596306.3699999999</v>
      </c>
      <c r="I12" s="31">
        <f t="shared" si="1"/>
        <v>0</v>
      </c>
      <c r="J12" s="31">
        <f>Bilanca!I19</f>
        <v>1806989</v>
      </c>
      <c r="K12" s="31">
        <f>Bilanca!J19</f>
        <v>1806989</v>
      </c>
    </row>
    <row r="13" spans="1:11" ht="12.75">
      <c r="A13" s="4" t="s">
        <v>1193</v>
      </c>
      <c r="B13" s="29" t="str">
        <f>TRIM(RefStr!C35)</f>
        <v>info@azrri.hr</v>
      </c>
      <c r="D13" s="4" t="s">
        <v>1521</v>
      </c>
      <c r="E13" s="4">
        <v>1</v>
      </c>
      <c r="F13" s="4">
        <f>Bilanca!G20</f>
        <v>12</v>
      </c>
      <c r="G13" s="4" t="str">
        <f>IF(Bilanca!H20=0,"",Bilanca!H20)</f>
        <v>4</v>
      </c>
      <c r="H13" s="30">
        <f t="shared" si="0"/>
        <v>4831899.12</v>
      </c>
      <c r="I13" s="31">
        <f t="shared" si="1"/>
        <v>0</v>
      </c>
      <c r="J13" s="31">
        <f>Bilanca!I20</f>
        <v>7175288</v>
      </c>
      <c r="K13" s="31">
        <f>Bilanca!J20</f>
        <v>16545269</v>
      </c>
    </row>
    <row r="14" spans="1:11" ht="12.75">
      <c r="A14" s="4" t="s">
        <v>1194</v>
      </c>
      <c r="B14" s="29" t="str">
        <f>TRIM(RefStr!C37)</f>
        <v>www.azrri.hr</v>
      </c>
      <c r="D14" s="4" t="s">
        <v>1521</v>
      </c>
      <c r="E14" s="4">
        <v>1</v>
      </c>
      <c r="F14" s="4">
        <f>Bilanca!G21</f>
        <v>13</v>
      </c>
      <c r="G14" s="4" t="str">
        <f>IF(Bilanca!H21=0,"",Bilanca!H21)</f>
        <v>5</v>
      </c>
      <c r="H14" s="30">
        <f t="shared" si="0"/>
        <v>655241.6</v>
      </c>
      <c r="I14" s="31">
        <f t="shared" si="1"/>
        <v>0</v>
      </c>
      <c r="J14" s="31">
        <f>Bilanca!I21</f>
        <v>2575986</v>
      </c>
      <c r="K14" s="31">
        <f>Bilanca!J21</f>
        <v>1232167</v>
      </c>
    </row>
    <row r="15" spans="1:11" ht="12.75">
      <c r="A15" s="4" t="s">
        <v>2360</v>
      </c>
      <c r="B15" s="29" t="str">
        <f>TEXT(RefStr!J39,"00")</f>
        <v>18</v>
      </c>
      <c r="D15" s="4" t="s">
        <v>1521</v>
      </c>
      <c r="E15" s="4">
        <v>1</v>
      </c>
      <c r="F15" s="4">
        <f>Bilanca!G22</f>
        <v>14</v>
      </c>
      <c r="G15" s="4" t="str">
        <f>IF(Bilanca!H22=0,"",Bilanca!H22)</f>
        <v>6</v>
      </c>
      <c r="H15" s="30">
        <f t="shared" si="0"/>
        <v>100372.86</v>
      </c>
      <c r="I15" s="31">
        <f t="shared" si="1"/>
        <v>0</v>
      </c>
      <c r="J15" s="31">
        <f>Bilanca!I22</f>
        <v>221085</v>
      </c>
      <c r="K15" s="31">
        <f>Bilanca!J22</f>
        <v>247932</v>
      </c>
    </row>
    <row r="16" spans="1:11" ht="12.75">
      <c r="A16" s="4" t="s">
        <v>2359</v>
      </c>
      <c r="B16" s="29" t="str">
        <f>TEXT(RefStr!C39,"000")</f>
        <v>321</v>
      </c>
      <c r="D16" s="4" t="s">
        <v>1521</v>
      </c>
      <c r="E16" s="4">
        <v>1</v>
      </c>
      <c r="F16" s="4">
        <f>Bilanca!G23</f>
        <v>15</v>
      </c>
      <c r="G16" s="4" t="str">
        <f>IF(Bilanca!H23=0,"",Bilanca!H23)</f>
        <v>7</v>
      </c>
      <c r="H16" s="30">
        <f t="shared" si="0"/>
        <v>418083.89999999997</v>
      </c>
      <c r="I16" s="31">
        <f t="shared" si="1"/>
        <v>0</v>
      </c>
      <c r="J16" s="31">
        <f>Bilanca!I23</f>
        <v>1046200</v>
      </c>
      <c r="K16" s="31">
        <f>Bilanca!J23</f>
        <v>870513</v>
      </c>
    </row>
    <row r="17" spans="1:11" ht="12.75">
      <c r="A17" s="4" t="s">
        <v>2358</v>
      </c>
      <c r="B17" s="29" t="str">
        <f>RefStr!C42</f>
        <v>0121</v>
      </c>
      <c r="D17" s="4" t="s">
        <v>1521</v>
      </c>
      <c r="E17" s="4">
        <v>1</v>
      </c>
      <c r="F17" s="4">
        <f>Bilanca!G24</f>
        <v>16</v>
      </c>
      <c r="G17" s="4" t="str">
        <f>IF(Bilanca!H24=0,"",Bilanca!H24)</f>
        <v>8</v>
      </c>
      <c r="H17" s="30">
        <f t="shared" si="0"/>
        <v>44213.76</v>
      </c>
      <c r="I17" s="31">
        <f t="shared" si="1"/>
        <v>0</v>
      </c>
      <c r="J17" s="31">
        <f>Bilanca!I24</f>
        <v>0</v>
      </c>
      <c r="K17" s="31">
        <f>Bilanca!J24</f>
        <v>138168</v>
      </c>
    </row>
    <row r="18" spans="1:11" ht="12.75">
      <c r="A18" s="4" t="s">
        <v>1195</v>
      </c>
      <c r="B18" s="29" t="str">
        <f>IF(RefStr!C21&lt;&gt;"",RefStr!C21,"")</f>
        <v>NE</v>
      </c>
      <c r="D18" s="4" t="s">
        <v>1521</v>
      </c>
      <c r="E18" s="4">
        <v>1</v>
      </c>
      <c r="F18" s="4">
        <f>Bilanca!G25</f>
        <v>17</v>
      </c>
      <c r="G18" s="4" t="str">
        <f>IF(Bilanca!H25=0,"",Bilanca!H25)</f>
        <v>9</v>
      </c>
      <c r="H18" s="30">
        <f t="shared" si="0"/>
        <v>2105972.2399999998</v>
      </c>
      <c r="I18" s="31">
        <f t="shared" si="1"/>
        <v>0</v>
      </c>
      <c r="J18" s="31">
        <f>Bilanca!I25</f>
        <v>10979398</v>
      </c>
      <c r="K18" s="31">
        <f>Bilanca!J25</f>
        <v>704337</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210600</v>
      </c>
      <c r="I21" s="31">
        <f t="shared" si="1"/>
        <v>0</v>
      </c>
      <c r="J21" s="31">
        <f>Bilanca!I28</f>
        <v>351000</v>
      </c>
      <c r="K21" s="31">
        <f>Bilanca!J28</f>
        <v>351000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31</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26</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25</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t="str">
        <f>IF(Bilanca!H38=0,"",Bilanca!H38)</f>
        <v>10</v>
      </c>
      <c r="H31" s="30">
        <f t="shared" si="0"/>
        <v>315900</v>
      </c>
      <c r="I31" s="31">
        <f t="shared" si="1"/>
        <v>0</v>
      </c>
      <c r="J31" s="31">
        <f>Bilanca!I38</f>
        <v>351000</v>
      </c>
      <c r="K31" s="31">
        <f>Bilanca!J38</f>
        <v>351000</v>
      </c>
    </row>
    <row r="32" spans="1:11" ht="12.75">
      <c r="A32" s="4" t="s">
        <v>1209</v>
      </c>
      <c r="B32" s="29" t="s">
        <v>1813</v>
      </c>
      <c r="D32" s="4" t="s">
        <v>1521</v>
      </c>
      <c r="E32" s="4">
        <v>1</v>
      </c>
      <c r="F32" s="4">
        <f>Bilanca!G39</f>
        <v>31</v>
      </c>
      <c r="G32" s="4">
        <f>IF(Bilanca!H39=0,"",Bilanca!H39)</f>
      </c>
      <c r="H32" s="30">
        <f t="shared" si="0"/>
        <v>2562464.96</v>
      </c>
      <c r="I32" s="31">
        <f t="shared" si="1"/>
        <v>0</v>
      </c>
      <c r="J32" s="31">
        <f>Bilanca!I39</f>
        <v>3259012</v>
      </c>
      <c r="K32" s="31">
        <f>Bilanca!J39</f>
        <v>2503502</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t="str">
        <f>IF(Bilanca!H42=0,"",Bilanca!H42)</f>
        <v>11</v>
      </c>
      <c r="H35" s="30">
        <f t="shared" si="0"/>
        <v>5599.12</v>
      </c>
      <c r="I35" s="31">
        <f t="shared" si="1"/>
        <v>0</v>
      </c>
      <c r="J35" s="31">
        <f>Bilanca!I42</f>
        <v>7280</v>
      </c>
      <c r="K35" s="31">
        <f>Bilanca!J42</f>
        <v>4594</v>
      </c>
    </row>
    <row r="36" spans="1:11" ht="12.75">
      <c r="A36" s="4" t="s">
        <v>1213</v>
      </c>
      <c r="B36" s="29" t="s">
        <v>1813</v>
      </c>
      <c r="D36" s="4" t="s">
        <v>1521</v>
      </c>
      <c r="E36" s="4">
        <v>1</v>
      </c>
      <c r="F36" s="4">
        <f>Bilanca!G43</f>
        <v>35</v>
      </c>
      <c r="G36" s="4" t="str">
        <f>IF(Bilanca!H43=0,"",Bilanca!H43)</f>
        <v>12</v>
      </c>
      <c r="H36" s="30">
        <f t="shared" si="0"/>
        <v>2887341.8</v>
      </c>
      <c r="I36" s="31">
        <f t="shared" si="1"/>
        <v>0</v>
      </c>
      <c r="J36" s="31">
        <f>Bilanca!I43</f>
        <v>3251732</v>
      </c>
      <c r="K36" s="31">
        <f>Bilanca!J43</f>
        <v>2498908</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12718537.25</v>
      </c>
      <c r="I38" s="31">
        <f t="shared" si="1"/>
        <v>0</v>
      </c>
      <c r="J38" s="31">
        <f>Bilanca!I45</f>
        <v>11358235</v>
      </c>
      <c r="K38" s="31">
        <f>Bilanca!J45</f>
        <v>11508095</v>
      </c>
    </row>
    <row r="39" spans="1:11" ht="12.75">
      <c r="A39" s="4" t="s">
        <v>1216</v>
      </c>
      <c r="B39" s="29" t="str">
        <f>RefStr!C68</f>
        <v>Jurman Sanja</v>
      </c>
      <c r="D39" s="4" t="s">
        <v>1521</v>
      </c>
      <c r="E39" s="4">
        <v>1</v>
      </c>
      <c r="F39" s="4">
        <f>Bilanca!G46</f>
        <v>38</v>
      </c>
      <c r="G39" s="4">
        <f>IF(Bilanca!H46=0,"",Bilanca!H46)</f>
      </c>
      <c r="H39" s="30">
        <f t="shared" si="0"/>
        <v>3490881.7800000003</v>
      </c>
      <c r="I39" s="31">
        <f t="shared" si="1"/>
        <v>0</v>
      </c>
      <c r="J39" s="31">
        <f>Bilanca!I46</f>
        <v>3402233</v>
      </c>
      <c r="K39" s="31">
        <f>Bilanca!J46</f>
        <v>2892149</v>
      </c>
    </row>
    <row r="40" spans="1:11" ht="12.75">
      <c r="A40" s="4" t="s">
        <v>1217</v>
      </c>
      <c r="B40" s="29" t="str">
        <f>TRIM(RefStr!C70)</f>
        <v>052/351-572</v>
      </c>
      <c r="D40" s="4" t="s">
        <v>1521</v>
      </c>
      <c r="E40" s="4">
        <v>1</v>
      </c>
      <c r="F40" s="4">
        <f>Bilanca!G47</f>
        <v>39</v>
      </c>
      <c r="G40" s="4" t="str">
        <f>IF(Bilanca!H47=0,"",Bilanca!H47)</f>
        <v>13</v>
      </c>
      <c r="H40" s="30">
        <f t="shared" si="0"/>
        <v>1118262.6</v>
      </c>
      <c r="I40" s="31">
        <f t="shared" si="1"/>
        <v>0</v>
      </c>
      <c r="J40" s="31">
        <f>Bilanca!I47</f>
        <v>1160808</v>
      </c>
      <c r="K40" s="31">
        <f>Bilanca!J47</f>
        <v>853266</v>
      </c>
    </row>
    <row r="41" spans="1:11" ht="12.75">
      <c r="A41" s="4" t="s">
        <v>1218</v>
      </c>
      <c r="B41" s="29" t="s">
        <v>239</v>
      </c>
      <c r="D41" s="4" t="s">
        <v>1521</v>
      </c>
      <c r="E41" s="4">
        <v>1</v>
      </c>
      <c r="F41" s="4">
        <f>Bilanca!G48</f>
        <v>40</v>
      </c>
      <c r="G41" s="4" t="str">
        <f>IF(Bilanca!H48=0,"",Bilanca!H48)</f>
        <v>14</v>
      </c>
      <c r="H41" s="30">
        <f t="shared" si="0"/>
        <v>62271.6</v>
      </c>
      <c r="I41" s="31">
        <f t="shared" si="1"/>
        <v>0</v>
      </c>
      <c r="J41" s="31">
        <f>Bilanca!I48</f>
        <v>19159</v>
      </c>
      <c r="K41" s="31">
        <f>Bilanca!J48</f>
        <v>68260</v>
      </c>
    </row>
    <row r="42" spans="1:11" ht="12.75">
      <c r="A42" s="4" t="s">
        <v>531</v>
      </c>
      <c r="B42" s="29" t="str">
        <f>TRIM(RefStr!C72)</f>
        <v>info@azrri.hr</v>
      </c>
      <c r="D42" s="4" t="s">
        <v>1521</v>
      </c>
      <c r="E42" s="4">
        <v>1</v>
      </c>
      <c r="F42" s="4">
        <f>Bilanca!G49</f>
        <v>41</v>
      </c>
      <c r="G42" s="4" t="str">
        <f>IF(Bilanca!H49=0,"",Bilanca!H49)</f>
        <v>15</v>
      </c>
      <c r="H42" s="30">
        <f t="shared" si="0"/>
        <v>943404.26</v>
      </c>
      <c r="I42" s="31">
        <f t="shared" si="1"/>
        <v>0</v>
      </c>
      <c r="J42" s="31">
        <f>Bilanca!I49</f>
        <v>764170</v>
      </c>
      <c r="K42" s="31">
        <f>Bilanca!J49</f>
        <v>768408</v>
      </c>
    </row>
    <row r="43" spans="1:11" ht="12.75">
      <c r="A43" s="4" t="s">
        <v>530</v>
      </c>
      <c r="B43" s="29" t="str">
        <f>TRIM(RefStr!A75)</f>
        <v>Igor Merlić</v>
      </c>
      <c r="D43" s="4" t="s">
        <v>1521</v>
      </c>
      <c r="E43" s="4">
        <v>1</v>
      </c>
      <c r="F43" s="4">
        <f>Bilanca!G50</f>
        <v>42</v>
      </c>
      <c r="G43" s="4" t="str">
        <f>IF(Bilanca!H50=0,"",Bilanca!H50)</f>
        <v>16</v>
      </c>
      <c r="H43" s="30">
        <f t="shared" si="0"/>
        <v>60725.28</v>
      </c>
      <c r="I43" s="31">
        <f t="shared" si="1"/>
        <v>0</v>
      </c>
      <c r="J43" s="31">
        <f>Bilanca!I50</f>
        <v>70398</v>
      </c>
      <c r="K43" s="31">
        <f>Bilanca!J50</f>
        <v>37093</v>
      </c>
    </row>
    <row r="44" spans="1:11" ht="12.75">
      <c r="A44" s="4" t="s">
        <v>2853</v>
      </c>
      <c r="B44" s="29" t="str">
        <f>IF(RefStr!C4&lt;&gt;"",TEXT(RefStr!C4,"YYYYMMDD"),"")</f>
        <v>20170101</v>
      </c>
      <c r="D44" s="4" t="s">
        <v>1521</v>
      </c>
      <c r="E44" s="4">
        <v>1</v>
      </c>
      <c r="F44" s="4">
        <f>Bilanca!G51</f>
        <v>43</v>
      </c>
      <c r="G44" s="4" t="str">
        <f>IF(Bilanca!H51=0,"",Bilanca!H51)</f>
        <v>17</v>
      </c>
      <c r="H44" s="30">
        <f t="shared" si="0"/>
        <v>18540.74</v>
      </c>
      <c r="I44" s="31">
        <f t="shared" si="1"/>
        <v>0</v>
      </c>
      <c r="J44" s="31">
        <f>Bilanca!I51</f>
        <v>0</v>
      </c>
      <c r="K44" s="31">
        <f>Bilanca!J51</f>
        <v>21559</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t="str">
        <f>IF(Bilanca!H53=0,"",Bilanca!H53)</f>
        <v>18</v>
      </c>
      <c r="H46" s="30">
        <f aca="true" t="shared" si="2" ref="H46:H84">J46/100*F46+2*K46/100*F46</f>
        <v>1653670.7999999998</v>
      </c>
      <c r="I46" s="31">
        <f aca="true" t="shared" si="3" ref="I46:I84">ABS(ROUND(J46,0)-J46)+ABS(ROUND(K46,0)-K46)</f>
        <v>0</v>
      </c>
      <c r="J46" s="31">
        <f>Bilanca!I53</f>
        <v>1387698</v>
      </c>
      <c r="K46" s="31">
        <f>Bilanca!J53</f>
        <v>1143563</v>
      </c>
    </row>
    <row r="47" spans="1:11" ht="12.75">
      <c r="A47" s="4" t="s">
        <v>1916</v>
      </c>
      <c r="B47" s="29" t="str">
        <f>IF(RDG!Q1&lt;&gt;0,"DA","NE")</f>
        <v>DA</v>
      </c>
      <c r="D47" s="4" t="s">
        <v>1521</v>
      </c>
      <c r="E47" s="4">
        <v>1</v>
      </c>
      <c r="F47" s="4">
        <f>Bilanca!G54</f>
        <v>46</v>
      </c>
      <c r="G47" s="4">
        <f>IF(Bilanca!H54=0,"",Bilanca!H54)</f>
      </c>
      <c r="H47" s="30">
        <f t="shared" si="2"/>
        <v>4770396.88</v>
      </c>
      <c r="I47" s="31">
        <f t="shared" si="3"/>
        <v>0</v>
      </c>
      <c r="J47" s="31">
        <f>Bilanca!I54</f>
        <v>2812906</v>
      </c>
      <c r="K47" s="31">
        <f>Bilanca!J54</f>
        <v>3778761</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19</v>
      </c>
      <c r="H50" s="30">
        <f t="shared" si="2"/>
        <v>887321.4</v>
      </c>
      <c r="I50" s="31">
        <f t="shared" si="3"/>
        <v>0</v>
      </c>
      <c r="J50" s="31">
        <f>Bilanca!I57</f>
        <v>740172</v>
      </c>
      <c r="K50" s="31">
        <f>Bilanca!J57</f>
        <v>535344</v>
      </c>
    </row>
    <row r="51" spans="1:11" ht="12.75">
      <c r="A51" s="4" t="s">
        <v>288</v>
      </c>
      <c r="B51" s="29" t="str">
        <f>RefStr!I60</f>
        <v>NE</v>
      </c>
      <c r="D51" s="4" t="s">
        <v>1521</v>
      </c>
      <c r="E51" s="4">
        <v>1</v>
      </c>
      <c r="F51" s="4">
        <f>Bilanca!G58</f>
        <v>50</v>
      </c>
      <c r="G51" s="4" t="str">
        <f>IF(Bilanca!H58=0,"",Bilanca!H58)</f>
        <v>20</v>
      </c>
      <c r="H51" s="30">
        <f t="shared" si="2"/>
        <v>1607</v>
      </c>
      <c r="I51" s="31">
        <f t="shared" si="3"/>
        <v>0</v>
      </c>
      <c r="J51" s="31">
        <f>Bilanca!I58</f>
        <v>1214</v>
      </c>
      <c r="K51" s="31">
        <f>Bilanca!J58</f>
        <v>1000</v>
      </c>
    </row>
    <row r="52" spans="1:11" ht="12.75">
      <c r="A52" s="4" t="s">
        <v>1219</v>
      </c>
      <c r="B52" s="29" t="s">
        <v>2619</v>
      </c>
      <c r="D52" s="4" t="s">
        <v>1521</v>
      </c>
      <c r="E52" s="4">
        <v>1</v>
      </c>
      <c r="F52" s="4">
        <f>Bilanca!G59</f>
        <v>51</v>
      </c>
      <c r="G52" s="4" t="str">
        <f>IF(Bilanca!H59=0,"",Bilanca!H59)</f>
        <v>21</v>
      </c>
      <c r="H52" s="30">
        <f t="shared" si="2"/>
        <v>2800674.1799999997</v>
      </c>
      <c r="I52" s="31">
        <f t="shared" si="3"/>
        <v>0</v>
      </c>
      <c r="J52" s="31">
        <f>Bilanca!I59</f>
        <v>2071150</v>
      </c>
      <c r="K52" s="31">
        <f>Bilanca!J59</f>
        <v>1710184</v>
      </c>
    </row>
    <row r="53" spans="1:11" ht="12.75">
      <c r="A53" s="4" t="s">
        <v>532</v>
      </c>
      <c r="B53" s="29" t="str">
        <f>RefStr!I56</f>
        <v>DA</v>
      </c>
      <c r="D53" s="4" t="s">
        <v>1521</v>
      </c>
      <c r="E53" s="4">
        <v>1</v>
      </c>
      <c r="F53" s="4">
        <f>Bilanca!G60</f>
        <v>52</v>
      </c>
      <c r="G53" s="4" t="str">
        <f>IF(Bilanca!H60=0,"",Bilanca!H60)</f>
        <v>22</v>
      </c>
      <c r="H53" s="30">
        <f t="shared" si="2"/>
        <v>1593714.72</v>
      </c>
      <c r="I53" s="31">
        <f t="shared" si="3"/>
        <v>0</v>
      </c>
      <c r="J53" s="31">
        <f>Bilanca!I60</f>
        <v>370</v>
      </c>
      <c r="K53" s="31">
        <f>Bilanca!J60</f>
        <v>1532233</v>
      </c>
    </row>
    <row r="54" spans="1:11" ht="12.75">
      <c r="A54" s="4" t="s">
        <v>533</v>
      </c>
      <c r="B54" s="29" t="str">
        <f>RefStr!I62</f>
        <v>DA</v>
      </c>
      <c r="D54" s="4" t="s">
        <v>1521</v>
      </c>
      <c r="E54" s="4">
        <v>1</v>
      </c>
      <c r="F54" s="4">
        <f>Bilanca!G61</f>
        <v>53</v>
      </c>
      <c r="G54" s="4">
        <f>IF(Bilanca!H61=0,"",Bilanca!H61)</f>
      </c>
      <c r="H54" s="30">
        <f t="shared" si="2"/>
        <v>26500</v>
      </c>
      <c r="I54" s="31">
        <f t="shared" si="3"/>
        <v>0</v>
      </c>
      <c r="J54" s="31">
        <f>Bilanca!I61</f>
        <v>0</v>
      </c>
      <c r="K54" s="31">
        <f>Bilanca!J61</f>
        <v>25000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2491803389.3599997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t="str">
        <f>IF(Bilanca!H69=0,"",Bilanca!H69)</f>
        <v>23</v>
      </c>
      <c r="H62" s="30">
        <f t="shared" si="2"/>
        <v>30500</v>
      </c>
      <c r="I62" s="31">
        <f t="shared" si="3"/>
        <v>0</v>
      </c>
      <c r="J62" s="31">
        <f>Bilanca!I69</f>
        <v>0</v>
      </c>
      <c r="K62" s="31">
        <f>Bilanca!J69</f>
        <v>25000</v>
      </c>
    </row>
    <row r="63" spans="1:11" ht="12.75">
      <c r="A63" s="4" t="s">
        <v>777</v>
      </c>
      <c r="B63" s="29" t="str">
        <f>IF(ISNUMBER(VALUE(RefStr!L21)),TEXT(INT(VALUE(RefStr!L21)),"00000000000"),"")</f>
        <v>56788189835</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24</v>
      </c>
      <c r="H64" s="30">
        <f t="shared" si="2"/>
        <v>9303503.58</v>
      </c>
      <c r="I64" s="31">
        <f t="shared" si="3"/>
        <v>0</v>
      </c>
      <c r="J64" s="31">
        <f>Bilanca!I71</f>
        <v>5143096</v>
      </c>
      <c r="K64" s="31">
        <f>Bilanca!J71</f>
        <v>4812185</v>
      </c>
    </row>
    <row r="65" spans="1:11" ht="12.75">
      <c r="A65" s="4" t="s">
        <v>687</v>
      </c>
      <c r="B65" s="29" t="str">
        <f>RefStr!N19</f>
        <v>HSFI</v>
      </c>
      <c r="D65" s="4" t="s">
        <v>1521</v>
      </c>
      <c r="E65" s="4">
        <v>1</v>
      </c>
      <c r="F65" s="4">
        <f>Bilanca!G72</f>
        <v>64</v>
      </c>
      <c r="G65" s="4" t="str">
        <f>IF(Bilanca!H72=0,"",Bilanca!H72)</f>
        <v>25</v>
      </c>
      <c r="H65" s="30">
        <f t="shared" si="2"/>
        <v>23007.36</v>
      </c>
      <c r="I65" s="31">
        <f t="shared" si="3"/>
        <v>0</v>
      </c>
      <c r="J65" s="31">
        <f>Bilanca!I72</f>
        <v>24455</v>
      </c>
      <c r="K65" s="31">
        <f>Bilanca!J72</f>
        <v>5747</v>
      </c>
    </row>
    <row r="66" spans="1:11" ht="12.75">
      <c r="A66" s="4" t="s">
        <v>688</v>
      </c>
      <c r="B66" s="29">
        <f>RefStr!C23</f>
        <v>1</v>
      </c>
      <c r="D66" s="4" t="s">
        <v>1521</v>
      </c>
      <c r="E66" s="4">
        <v>1</v>
      </c>
      <c r="F66" s="4">
        <f>Bilanca!G73</f>
        <v>65</v>
      </c>
      <c r="G66" s="4">
        <f>IF(Bilanca!H73=0,"",Bilanca!H73)</f>
      </c>
      <c r="H66" s="30">
        <f t="shared" si="2"/>
        <v>76728648.10000001</v>
      </c>
      <c r="I66" s="31">
        <f t="shared" si="3"/>
        <v>0</v>
      </c>
      <c r="J66" s="31">
        <f>Bilanca!I73</f>
        <v>42730582</v>
      </c>
      <c r="K66" s="31">
        <f>Bilanca!J73</f>
        <v>37656746</v>
      </c>
    </row>
    <row r="67" spans="1:11" ht="12.75">
      <c r="A67" s="4" t="s">
        <v>689</v>
      </c>
      <c r="B67" s="29" t="str">
        <f>RefStr!L35</f>
        <v>052/351-570</v>
      </c>
      <c r="D67" s="4" t="s">
        <v>1521</v>
      </c>
      <c r="E67" s="4">
        <v>1</v>
      </c>
      <c r="F67" s="4">
        <f>Bilanca!G74</f>
        <v>66</v>
      </c>
      <c r="G67" s="4" t="str">
        <f>IF(Bilanca!H74=0,"",Bilanca!H74)</f>
        <v>26</v>
      </c>
      <c r="H67" s="30">
        <f t="shared" si="2"/>
        <v>10301589.540000001</v>
      </c>
      <c r="I67" s="31">
        <f t="shared" si="3"/>
        <v>0</v>
      </c>
      <c r="J67" s="31">
        <f>Bilanca!I74</f>
        <v>5202823</v>
      </c>
      <c r="K67" s="31">
        <f>Bilanca!J74</f>
        <v>5202823</v>
      </c>
    </row>
    <row r="68" spans="1:11" ht="12.75">
      <c r="A68" s="4" t="s">
        <v>690</v>
      </c>
      <c r="B68" s="29">
        <f>RefStr!C44</f>
        <v>1</v>
      </c>
      <c r="D68" s="4" t="s">
        <v>1521</v>
      </c>
      <c r="E68" s="4">
        <v>1</v>
      </c>
      <c r="F68" s="4">
        <f>Bilanca!G76</f>
        <v>67</v>
      </c>
      <c r="G68" s="4">
        <f>IF(Bilanca!H76=0,"",Bilanca!H76)</f>
      </c>
      <c r="H68" s="30">
        <f t="shared" si="2"/>
        <v>13617962.39</v>
      </c>
      <c r="I68" s="31">
        <f t="shared" si="3"/>
        <v>0</v>
      </c>
      <c r="J68" s="31">
        <f>Bilanca!I76</f>
        <v>6727475</v>
      </c>
      <c r="K68" s="31">
        <f>Bilanca!J76</f>
        <v>6798921</v>
      </c>
    </row>
    <row r="69" spans="1:11" ht="12.75">
      <c r="A69" s="4" t="s">
        <v>691</v>
      </c>
      <c r="B69" s="29">
        <f>RefStr!M46</f>
        <v>0</v>
      </c>
      <c r="D69" s="4" t="s">
        <v>1521</v>
      </c>
      <c r="E69" s="4">
        <v>1</v>
      </c>
      <c r="F69" s="4">
        <f>Bilanca!G77</f>
        <v>68</v>
      </c>
      <c r="G69" s="4" t="str">
        <f>IF(Bilanca!H77=0,"",Bilanca!H77)</f>
        <v>27</v>
      </c>
      <c r="H69" s="30">
        <f t="shared" si="2"/>
        <v>12148200</v>
      </c>
      <c r="I69" s="31">
        <f t="shared" si="3"/>
        <v>0</v>
      </c>
      <c r="J69" s="31">
        <f>Bilanca!I77</f>
        <v>5955000</v>
      </c>
      <c r="K69" s="31">
        <f>Bilanca!J77</f>
        <v>5955000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732952.5</v>
      </c>
      <c r="I71" s="31">
        <f t="shared" si="3"/>
        <v>0</v>
      </c>
      <c r="J71" s="31">
        <f>Bilanca!I79</f>
        <v>349025</v>
      </c>
      <c r="K71" s="31">
        <f>Bilanca!J79</f>
        <v>349025</v>
      </c>
    </row>
    <row r="72" spans="4:11" ht="12.75">
      <c r="D72" s="4" t="s">
        <v>1521</v>
      </c>
      <c r="E72" s="4">
        <v>1</v>
      </c>
      <c r="F72" s="4">
        <f>Bilanca!G80</f>
        <v>71</v>
      </c>
      <c r="G72" s="4" t="str">
        <f>IF(Bilanca!H80=0,"",Bilanca!H80)</f>
        <v>28</v>
      </c>
      <c r="H72" s="30">
        <f t="shared" si="2"/>
        <v>117150</v>
      </c>
      <c r="I72" s="31">
        <f t="shared" si="3"/>
        <v>0</v>
      </c>
      <c r="J72" s="31">
        <f>Bilanca!I80</f>
        <v>55000</v>
      </c>
      <c r="K72" s="31">
        <f>Bilanca!J80</f>
        <v>55000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t="str">
        <f>IF(Bilanca!H84=0,"",Bilanca!H84)</f>
        <v>29</v>
      </c>
      <c r="H76" s="30">
        <f t="shared" si="2"/>
        <v>661556.25</v>
      </c>
      <c r="I76" s="31">
        <f t="shared" si="3"/>
        <v>0</v>
      </c>
      <c r="J76" s="31">
        <f>Bilanca!I84</f>
        <v>294025</v>
      </c>
      <c r="K76" s="31">
        <f>Bilanca!J84</f>
        <v>294025</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1018483.47</v>
      </c>
      <c r="I82" s="31">
        <f t="shared" si="3"/>
        <v>0</v>
      </c>
      <c r="J82" s="31">
        <f>Bilanca!I90</f>
        <v>410487</v>
      </c>
      <c r="K82" s="31">
        <f>Bilanca!J90</f>
        <v>423450</v>
      </c>
    </row>
    <row r="83" spans="4:11" ht="12.75">
      <c r="D83" s="4" t="s">
        <v>1521</v>
      </c>
      <c r="E83" s="4">
        <v>1</v>
      </c>
      <c r="F83" s="4">
        <f>Bilanca!G91</f>
        <v>82</v>
      </c>
      <c r="G83" s="4" t="str">
        <f>IF(Bilanca!H91=0,"",Bilanca!H91)</f>
        <v>30</v>
      </c>
      <c r="H83" s="30">
        <f t="shared" si="2"/>
        <v>1031057.34</v>
      </c>
      <c r="I83" s="31">
        <f t="shared" si="3"/>
        <v>0</v>
      </c>
      <c r="J83" s="31">
        <f>Bilanca!I91</f>
        <v>410487</v>
      </c>
      <c r="K83" s="31">
        <f>Bilanca!J91</f>
        <v>423450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130918.2</v>
      </c>
      <c r="I85" s="31">
        <f>ABS(ROUND(J85,0)-J85)+ABS(ROUND(K85,0)-K85)</f>
        <v>0</v>
      </c>
      <c r="J85" s="31">
        <f>Bilanca!I93</f>
        <v>12963</v>
      </c>
      <c r="K85" s="31">
        <f>Bilanca!J93</f>
        <v>71446</v>
      </c>
    </row>
    <row r="86" spans="4:11" ht="12.75">
      <c r="D86" s="4" t="s">
        <v>1521</v>
      </c>
      <c r="E86" s="4">
        <v>1</v>
      </c>
      <c r="F86" s="4">
        <f>Bilanca!G94</f>
        <v>85</v>
      </c>
      <c r="G86" s="4" t="str">
        <f>IF(Bilanca!H94=0,"",Bilanca!H94)</f>
        <v>31</v>
      </c>
      <c r="H86" s="30">
        <f>J86/100*F86+2*K86/100*F86</f>
        <v>132476.75</v>
      </c>
      <c r="I86" s="31">
        <f>ABS(ROUND(J86,0)-J86)+ABS(ROUND(K86,0)-K86)</f>
        <v>0</v>
      </c>
      <c r="J86" s="31">
        <f>Bilanca!I94</f>
        <v>12963</v>
      </c>
      <c r="K86" s="31">
        <f>Bilanca!J94</f>
        <v>71446</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45865233.35</v>
      </c>
      <c r="I96" s="31">
        <f t="shared" si="5"/>
        <v>0</v>
      </c>
      <c r="J96" s="31">
        <f>Bilanca!I104</f>
        <v>18847661</v>
      </c>
      <c r="K96" s="31">
        <f>Bilanca!J104</f>
        <v>14715766</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32</v>
      </c>
      <c r="H102" s="30">
        <f t="shared" si="4"/>
        <v>41401023.120000005</v>
      </c>
      <c r="I102" s="31">
        <f t="shared" si="5"/>
        <v>0</v>
      </c>
      <c r="J102" s="31">
        <f>Bilanca!I110</f>
        <v>15632476</v>
      </c>
      <c r="K102" s="31">
        <f>Bilanca!J110</f>
        <v>12679318</v>
      </c>
    </row>
    <row r="103" spans="4:11" ht="12.75">
      <c r="D103" s="4" t="s">
        <v>1521</v>
      </c>
      <c r="E103" s="4">
        <v>1</v>
      </c>
      <c r="F103" s="4">
        <f>Bilanca!G111</f>
        <v>102</v>
      </c>
      <c r="G103" s="4" t="str">
        <f>IF(Bilanca!H111=0,"",Bilanca!H111)</f>
        <v>36</v>
      </c>
      <c r="H103" s="30">
        <f t="shared" si="4"/>
        <v>879.2399999999999</v>
      </c>
      <c r="I103" s="31">
        <f t="shared" si="5"/>
        <v>0</v>
      </c>
      <c r="J103" s="31">
        <f>Bilanca!I111</f>
        <v>862</v>
      </c>
      <c r="K103" s="31">
        <f>Bilanca!J111</f>
        <v>0</v>
      </c>
    </row>
    <row r="104" spans="4:11" ht="12.75">
      <c r="D104" s="4" t="s">
        <v>1521</v>
      </c>
      <c r="E104" s="4">
        <v>1</v>
      </c>
      <c r="F104" s="4">
        <f>Bilanca!G112</f>
        <v>103</v>
      </c>
      <c r="G104" s="4" t="str">
        <f>IF(Bilanca!H112=0,"",Bilanca!H112)</f>
        <v>33</v>
      </c>
      <c r="H104" s="30">
        <f t="shared" si="4"/>
        <v>7505835.57</v>
      </c>
      <c r="I104" s="31">
        <f t="shared" si="5"/>
        <v>0</v>
      </c>
      <c r="J104" s="31">
        <f>Bilanca!I112</f>
        <v>3214323</v>
      </c>
      <c r="K104" s="31">
        <f>Bilanca!J112</f>
        <v>2036448</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29099739.259999998</v>
      </c>
      <c r="I108" s="31">
        <f t="shared" si="5"/>
        <v>0</v>
      </c>
      <c r="J108" s="31">
        <f>Bilanca!I116</f>
        <v>9708770</v>
      </c>
      <c r="K108" s="31">
        <f>Bilanca!J116</f>
        <v>8743624</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t="str">
        <f>IF(Bilanca!H121=0,"",Bilanca!H121)</f>
        <v>34</v>
      </c>
      <c r="H113" s="30">
        <f t="shared" si="4"/>
        <v>13887972</v>
      </c>
      <c r="I113" s="31">
        <f t="shared" si="5"/>
        <v>0</v>
      </c>
      <c r="J113" s="31">
        <f>Bilanca!I121</f>
        <v>4323705</v>
      </c>
      <c r="K113" s="31">
        <f>Bilanca!J121</f>
        <v>4038135</v>
      </c>
    </row>
    <row r="114" spans="4:11" ht="12.75">
      <c r="D114" s="4" t="s">
        <v>1521</v>
      </c>
      <c r="E114" s="4">
        <v>1</v>
      </c>
      <c r="F114" s="4">
        <f>Bilanca!G122</f>
        <v>113</v>
      </c>
      <c r="G114" s="4" t="str">
        <f>IF(Bilanca!H122=0,"",Bilanca!H122)</f>
        <v>35</v>
      </c>
      <c r="H114" s="30">
        <f t="shared" si="4"/>
        <v>668492.18</v>
      </c>
      <c r="I114" s="31">
        <f t="shared" si="5"/>
        <v>0</v>
      </c>
      <c r="J114" s="31">
        <f>Bilanca!I122</f>
        <v>371154</v>
      </c>
      <c r="K114" s="31">
        <f>Bilanca!J122</f>
        <v>110216</v>
      </c>
    </row>
    <row r="115" spans="4:11" ht="12.75">
      <c r="D115" s="4" t="s">
        <v>1521</v>
      </c>
      <c r="E115" s="4">
        <v>1</v>
      </c>
      <c r="F115" s="4">
        <f>Bilanca!G123</f>
        <v>114</v>
      </c>
      <c r="G115" s="4">
        <f>IF(Bilanca!H123=0,"",Bilanca!H123)</f>
      </c>
      <c r="H115" s="30">
        <f t="shared" si="4"/>
        <v>2136.3599999999997</v>
      </c>
      <c r="I115" s="31">
        <f t="shared" si="5"/>
        <v>0</v>
      </c>
      <c r="J115" s="31">
        <f>Bilanca!I123</f>
        <v>0</v>
      </c>
      <c r="K115" s="31">
        <f>Bilanca!J123</f>
        <v>937</v>
      </c>
    </row>
    <row r="116" spans="4:11" ht="12.75">
      <c r="D116" s="4" t="s">
        <v>1521</v>
      </c>
      <c r="E116" s="4">
        <v>1</v>
      </c>
      <c r="F116" s="4">
        <f>Bilanca!G124</f>
        <v>115</v>
      </c>
      <c r="G116" s="4" t="str">
        <f>IF(Bilanca!H124=0,"",Bilanca!H124)</f>
        <v>37</v>
      </c>
      <c r="H116" s="30">
        <f t="shared" si="4"/>
        <v>14830618.5</v>
      </c>
      <c r="I116" s="31">
        <f t="shared" si="5"/>
        <v>0</v>
      </c>
      <c r="J116" s="31">
        <f>Bilanca!I124</f>
        <v>4541168</v>
      </c>
      <c r="K116" s="31">
        <f>Bilanca!J124</f>
        <v>4177511</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38</v>
      </c>
      <c r="H118" s="30">
        <f t="shared" si="4"/>
        <v>836397.9</v>
      </c>
      <c r="I118" s="31">
        <f t="shared" si="5"/>
        <v>0</v>
      </c>
      <c r="J118" s="31">
        <f>Bilanca!I126</f>
        <v>237026</v>
      </c>
      <c r="K118" s="31">
        <f>Bilanca!J126</f>
        <v>238922</v>
      </c>
    </row>
    <row r="119" spans="4:11" ht="12.75">
      <c r="D119" s="4" t="s">
        <v>1521</v>
      </c>
      <c r="E119" s="4">
        <v>1</v>
      </c>
      <c r="F119" s="4">
        <f>Bilanca!G127</f>
        <v>118</v>
      </c>
      <c r="G119" s="4" t="str">
        <f>IF(Bilanca!H127=0,"",Bilanca!H127)</f>
        <v>39</v>
      </c>
      <c r="H119" s="30">
        <f t="shared" si="4"/>
        <v>527550.8600000001</v>
      </c>
      <c r="I119" s="31">
        <f t="shared" si="5"/>
        <v>0</v>
      </c>
      <c r="J119" s="31">
        <f>Bilanca!I127</f>
        <v>143989</v>
      </c>
      <c r="K119" s="31">
        <f>Bilanca!J127</f>
        <v>151544</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t="str">
        <f>IF(Bilanca!H130=0,"",Bilanca!H130)</f>
        <v>40</v>
      </c>
      <c r="H122" s="30">
        <f t="shared" si="4"/>
        <v>174779.65999999997</v>
      </c>
      <c r="I122" s="31">
        <f t="shared" si="5"/>
        <v>0</v>
      </c>
      <c r="J122" s="31">
        <f>Bilanca!I130</f>
        <v>91728</v>
      </c>
      <c r="K122" s="31">
        <f>Bilanca!J130</f>
        <v>26359</v>
      </c>
    </row>
    <row r="123" spans="4:11" ht="12.75">
      <c r="D123" s="4" t="s">
        <v>1521</v>
      </c>
      <c r="E123" s="4">
        <v>1</v>
      </c>
      <c r="F123" s="4">
        <f>Bilanca!G131</f>
        <v>122</v>
      </c>
      <c r="G123" s="4" t="str">
        <f>IF(Bilanca!H131=0,"",Bilanca!H131)</f>
        <v>41</v>
      </c>
      <c r="H123" s="30">
        <f t="shared" si="4"/>
        <v>27137126.12</v>
      </c>
      <c r="I123" s="31">
        <f t="shared" si="5"/>
        <v>0</v>
      </c>
      <c r="J123" s="31">
        <f>Bilanca!I131</f>
        <v>7446676</v>
      </c>
      <c r="K123" s="31">
        <f>Bilanca!J131</f>
        <v>7398435</v>
      </c>
    </row>
    <row r="124" spans="4:11" ht="12.75">
      <c r="D124" s="4" t="s">
        <v>1521</v>
      </c>
      <c r="E124" s="4">
        <v>1</v>
      </c>
      <c r="F124" s="4">
        <f>Bilanca!G132</f>
        <v>123</v>
      </c>
      <c r="G124" s="4">
        <f>IF(Bilanca!H132=0,"",Bilanca!H132)</f>
      </c>
      <c r="H124" s="30">
        <f t="shared" si="4"/>
        <v>145194211.02</v>
      </c>
      <c r="I124" s="31">
        <f t="shared" si="5"/>
        <v>0</v>
      </c>
      <c r="J124" s="31">
        <f>Bilanca!I132</f>
        <v>42730582</v>
      </c>
      <c r="K124" s="31">
        <f>Bilanca!J132</f>
        <v>37656746</v>
      </c>
    </row>
    <row r="125" spans="4:11" ht="12.75">
      <c r="D125" s="4" t="s">
        <v>1521</v>
      </c>
      <c r="E125" s="4">
        <v>1</v>
      </c>
      <c r="F125" s="4">
        <f>Bilanca!G133</f>
        <v>124</v>
      </c>
      <c r="G125" s="4" t="str">
        <f>IF(Bilanca!H133=0,"",Bilanca!H133)</f>
        <v>42</v>
      </c>
      <c r="H125" s="30">
        <f t="shared" si="4"/>
        <v>19354501.560000002</v>
      </c>
      <c r="I125" s="31">
        <f t="shared" si="5"/>
        <v>0</v>
      </c>
      <c r="J125" s="31">
        <f>Bilanca!I133</f>
        <v>5202823</v>
      </c>
      <c r="K125" s="31">
        <f>Bilanca!J133</f>
        <v>5202823</v>
      </c>
    </row>
    <row r="126" spans="4:11" ht="12.75">
      <c r="D126" s="4" t="s">
        <v>541</v>
      </c>
      <c r="E126" s="4">
        <v>2</v>
      </c>
      <c r="F126" s="4">
        <f>RDG!G8</f>
        <v>125</v>
      </c>
      <c r="G126" s="4">
        <f>IF(RDG!H8=0,"",RDG!H8)</f>
      </c>
      <c r="H126" s="30">
        <f t="shared" si="4"/>
        <v>61569371.25</v>
      </c>
      <c r="I126" s="4">
        <f t="shared" si="5"/>
        <v>0</v>
      </c>
      <c r="J126" s="31">
        <f>RDG!I8</f>
        <v>16023707</v>
      </c>
      <c r="K126" s="31">
        <f>RDG!J8</f>
        <v>16615895</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1</v>
      </c>
      <c r="H128" s="30">
        <f aca="true" t="shared" si="6" ref="H128:H190">J128/100*F128+2*K128/100*F128</f>
        <v>26312563.580000002</v>
      </c>
      <c r="I128" s="4">
        <f aca="true" t="shared" si="7" ref="I128:I190">ABS(ROUND(J128,0)-J128)+ABS(ROUND(K128,0)-K128)</f>
        <v>0</v>
      </c>
      <c r="J128" s="31">
        <f>RDG!I10</f>
        <v>6752882</v>
      </c>
      <c r="K128" s="31">
        <f>RDG!J10</f>
        <v>6982836</v>
      </c>
    </row>
    <row r="129" spans="4:11" ht="12.75">
      <c r="D129" s="4" t="s">
        <v>541</v>
      </c>
      <c r="E129" s="4">
        <v>2</v>
      </c>
      <c r="F129" s="4">
        <f>RDG!G11</f>
        <v>128</v>
      </c>
      <c r="G129" s="4" t="str">
        <f>IF(RDG!H11=0,"",RDG!H11)</f>
        <v>2</v>
      </c>
      <c r="H129" s="30">
        <f t="shared" si="6"/>
        <v>136258.56</v>
      </c>
      <c r="I129" s="4">
        <f t="shared" si="7"/>
        <v>0</v>
      </c>
      <c r="J129" s="31">
        <f>RDG!I11</f>
        <v>50640</v>
      </c>
      <c r="K129" s="31">
        <f>RDG!J11</f>
        <v>27906</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3</v>
      </c>
      <c r="H131" s="30">
        <f t="shared" si="6"/>
        <v>36959638.3</v>
      </c>
      <c r="I131" s="4">
        <f t="shared" si="7"/>
        <v>0</v>
      </c>
      <c r="J131" s="31">
        <f>RDG!I13</f>
        <v>9220185</v>
      </c>
      <c r="K131" s="31">
        <f>RDG!J13</f>
        <v>9605153</v>
      </c>
    </row>
    <row r="132" spans="4:11" ht="12.75">
      <c r="D132" s="4" t="s">
        <v>541</v>
      </c>
      <c r="E132" s="4">
        <v>2</v>
      </c>
      <c r="F132" s="4">
        <f>RDG!G14</f>
        <v>131</v>
      </c>
      <c r="G132" s="4">
        <f>IF(RDG!H14=0,"",RDG!H14)</f>
      </c>
      <c r="H132" s="30">
        <f t="shared" si="6"/>
        <v>62264275.11</v>
      </c>
      <c r="I132" s="4">
        <f t="shared" si="7"/>
        <v>0</v>
      </c>
      <c r="J132" s="31">
        <f>RDG!I14</f>
        <v>15604637</v>
      </c>
      <c r="K132" s="31">
        <f>RDG!J14</f>
        <v>15962672</v>
      </c>
    </row>
    <row r="133" spans="4:11" ht="12.75">
      <c r="D133" s="4" t="s">
        <v>541</v>
      </c>
      <c r="E133" s="4">
        <v>2</v>
      </c>
      <c r="F133" s="4">
        <f>RDG!G15</f>
        <v>132</v>
      </c>
      <c r="G133" s="4" t="str">
        <f>IF(RDG!H15=0,"",RDG!H15)</f>
        <v>6</v>
      </c>
      <c r="H133" s="30">
        <f t="shared" si="6"/>
        <v>570927.72</v>
      </c>
      <c r="I133" s="4">
        <f t="shared" si="7"/>
        <v>0</v>
      </c>
      <c r="J133" s="31">
        <f>RDG!I15</f>
        <v>50929</v>
      </c>
      <c r="K133" s="31">
        <f>RDG!J15</f>
        <v>190796</v>
      </c>
    </row>
    <row r="134" spans="4:11" ht="12.75">
      <c r="D134" s="4" t="s">
        <v>541</v>
      </c>
      <c r="E134" s="4">
        <v>2</v>
      </c>
      <c r="F134" s="4">
        <f>RDG!G16</f>
        <v>133</v>
      </c>
      <c r="G134" s="4">
        <f>IF(RDG!H16=0,"",RDG!H16)</f>
      </c>
      <c r="H134" s="30">
        <f t="shared" si="6"/>
        <v>28876566.32</v>
      </c>
      <c r="I134" s="4">
        <f t="shared" si="7"/>
        <v>0</v>
      </c>
      <c r="J134" s="31">
        <f>RDG!I16</f>
        <v>6854250</v>
      </c>
      <c r="K134" s="31">
        <f>RDG!J16</f>
        <v>7428727</v>
      </c>
    </row>
    <row r="135" spans="4:11" ht="12.75">
      <c r="D135" s="4" t="s">
        <v>541</v>
      </c>
      <c r="E135" s="4">
        <v>2</v>
      </c>
      <c r="F135" s="4">
        <f>RDG!G17</f>
        <v>134</v>
      </c>
      <c r="G135" s="4" t="str">
        <f>IF(RDG!H17=0,"",RDG!H17)</f>
        <v>7</v>
      </c>
      <c r="H135" s="30">
        <f t="shared" si="6"/>
        <v>12394327.32</v>
      </c>
      <c r="I135" s="4">
        <f t="shared" si="7"/>
        <v>0</v>
      </c>
      <c r="J135" s="31">
        <f>RDG!I17</f>
        <v>2853076</v>
      </c>
      <c r="K135" s="31">
        <f>RDG!J17</f>
        <v>3198211</v>
      </c>
    </row>
    <row r="136" spans="4:11" ht="12.75">
      <c r="D136" s="4" t="s">
        <v>541</v>
      </c>
      <c r="E136" s="4">
        <v>2</v>
      </c>
      <c r="F136" s="4">
        <f>RDG!G18</f>
        <v>135</v>
      </c>
      <c r="G136" s="4" t="str">
        <f>IF(RDG!H18=0,"",RDG!H18)</f>
        <v>8</v>
      </c>
      <c r="H136" s="30">
        <f t="shared" si="6"/>
        <v>5910826.5</v>
      </c>
      <c r="I136" s="4">
        <f t="shared" si="7"/>
        <v>0</v>
      </c>
      <c r="J136" s="31">
        <f>RDG!I18</f>
        <v>1578860</v>
      </c>
      <c r="K136" s="31">
        <f>RDG!J18</f>
        <v>1399765</v>
      </c>
    </row>
    <row r="137" spans="4:11" ht="12.75">
      <c r="D137" s="4" t="s">
        <v>541</v>
      </c>
      <c r="E137" s="4">
        <v>2</v>
      </c>
      <c r="F137" s="4">
        <f>RDG!G19</f>
        <v>136</v>
      </c>
      <c r="G137" s="4" t="str">
        <f>IF(RDG!H19=0,"",RDG!H19)</f>
        <v>9</v>
      </c>
      <c r="H137" s="30">
        <f t="shared" si="6"/>
        <v>10993989.76</v>
      </c>
      <c r="I137" s="4">
        <f t="shared" si="7"/>
        <v>0</v>
      </c>
      <c r="J137" s="31">
        <f>RDG!I19</f>
        <v>2422314</v>
      </c>
      <c r="K137" s="31">
        <f>RDG!J19</f>
        <v>2830751</v>
      </c>
    </row>
    <row r="138" spans="4:11" ht="12.75">
      <c r="D138" s="4" t="s">
        <v>541</v>
      </c>
      <c r="E138" s="4">
        <v>2</v>
      </c>
      <c r="F138" s="4">
        <f>RDG!G20</f>
        <v>137</v>
      </c>
      <c r="G138" s="4">
        <f>IF(RDG!H20=0,"",RDG!H20)</f>
      </c>
      <c r="H138" s="30">
        <f t="shared" si="6"/>
        <v>17049721.240000002</v>
      </c>
      <c r="I138" s="4">
        <f t="shared" si="7"/>
        <v>0</v>
      </c>
      <c r="J138" s="31">
        <f>RDG!I20</f>
        <v>4252204</v>
      </c>
      <c r="K138" s="31">
        <f>RDG!J20</f>
        <v>4096424</v>
      </c>
    </row>
    <row r="139" spans="4:11" ht="12.75">
      <c r="D139" s="4" t="s">
        <v>541</v>
      </c>
      <c r="E139" s="4">
        <v>2</v>
      </c>
      <c r="F139" s="4">
        <f>RDG!G21</f>
        <v>138</v>
      </c>
      <c r="G139" s="4" t="str">
        <f>IF(RDG!H21=0,"",RDG!H21)</f>
        <v>10</v>
      </c>
      <c r="H139" s="30">
        <f t="shared" si="6"/>
        <v>10449219.24</v>
      </c>
      <c r="I139" s="4">
        <f t="shared" si="7"/>
        <v>0</v>
      </c>
      <c r="J139" s="31">
        <f>RDG!I21</f>
        <v>2571782</v>
      </c>
      <c r="K139" s="31">
        <f>RDG!J21</f>
        <v>2500058</v>
      </c>
    </row>
    <row r="140" spans="4:11" ht="12.75">
      <c r="D140" s="4" t="s">
        <v>541</v>
      </c>
      <c r="E140" s="4">
        <v>2</v>
      </c>
      <c r="F140" s="4">
        <f>RDG!G22</f>
        <v>139</v>
      </c>
      <c r="G140" s="4" t="str">
        <f>IF(RDG!H22=0,"",RDG!H22)</f>
        <v>11</v>
      </c>
      <c r="H140" s="30">
        <f t="shared" si="6"/>
        <v>4169135.42</v>
      </c>
      <c r="I140" s="4">
        <f t="shared" si="7"/>
        <v>0</v>
      </c>
      <c r="J140" s="31">
        <f>RDG!I22</f>
        <v>1044684</v>
      </c>
      <c r="K140" s="31">
        <f>RDG!J22</f>
        <v>977347</v>
      </c>
    </row>
    <row r="141" spans="4:11" ht="12.75">
      <c r="D141" s="4" t="s">
        <v>541</v>
      </c>
      <c r="E141" s="4">
        <v>2</v>
      </c>
      <c r="F141" s="4">
        <f>RDG!G23</f>
        <v>140</v>
      </c>
      <c r="G141" s="4" t="str">
        <f>IF(RDG!H23=0,"",RDG!H23)</f>
        <v>12</v>
      </c>
      <c r="H141" s="30">
        <f t="shared" si="6"/>
        <v>2623286.4</v>
      </c>
      <c r="I141" s="4">
        <f t="shared" si="7"/>
        <v>0</v>
      </c>
      <c r="J141" s="31">
        <f>RDG!I23</f>
        <v>635738</v>
      </c>
      <c r="K141" s="31">
        <f>RDG!J23</f>
        <v>619019</v>
      </c>
    </row>
    <row r="142" spans="4:11" ht="12.75">
      <c r="D142" s="4" t="s">
        <v>541</v>
      </c>
      <c r="E142" s="4">
        <v>2</v>
      </c>
      <c r="F142" s="4">
        <f>RDG!G24</f>
        <v>141</v>
      </c>
      <c r="G142" s="4" t="str">
        <f>IF(RDG!H24=0,"",RDG!H24)</f>
        <v>13</v>
      </c>
      <c r="H142" s="30">
        <f t="shared" si="6"/>
        <v>12400208.34</v>
      </c>
      <c r="I142" s="4">
        <f t="shared" si="7"/>
        <v>0</v>
      </c>
      <c r="J142" s="31">
        <f>RDG!I24</f>
        <v>2356002</v>
      </c>
      <c r="K142" s="31">
        <f>RDG!J24</f>
        <v>3219236</v>
      </c>
    </row>
    <row r="143" spans="4:11" ht="12.75">
      <c r="D143" s="4" t="s">
        <v>541</v>
      </c>
      <c r="E143" s="4">
        <v>2</v>
      </c>
      <c r="F143" s="4">
        <f>RDG!G25</f>
        <v>142</v>
      </c>
      <c r="G143" s="4" t="str">
        <f>IF(RDG!H25=0,"",RDG!H25)</f>
        <v>14</v>
      </c>
      <c r="H143" s="30">
        <f t="shared" si="6"/>
        <v>3386305.2399999998</v>
      </c>
      <c r="I143" s="4">
        <f t="shared" si="7"/>
        <v>0</v>
      </c>
      <c r="J143" s="31">
        <f>RDG!I25</f>
        <v>818150</v>
      </c>
      <c r="K143" s="31">
        <f>RDG!J25</f>
        <v>783286</v>
      </c>
    </row>
    <row r="144" spans="4:11" ht="12.75">
      <c r="D144" s="4" t="s">
        <v>541</v>
      </c>
      <c r="E144" s="4">
        <v>2</v>
      </c>
      <c r="F144" s="4">
        <f>RDG!G26</f>
        <v>143</v>
      </c>
      <c r="G144" s="4">
        <f>IF(RDG!H26=0,"",RDG!H26)</f>
      </c>
      <c r="H144" s="30">
        <f t="shared" si="6"/>
        <v>1133978.56</v>
      </c>
      <c r="I144" s="4">
        <f t="shared" si="7"/>
        <v>0</v>
      </c>
      <c r="J144" s="31">
        <f>RDG!I26</f>
        <v>792992</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1149838.4</v>
      </c>
      <c r="I146" s="4">
        <f t="shared" si="7"/>
        <v>0</v>
      </c>
      <c r="J146" s="31">
        <f>RDG!I28</f>
        <v>792992</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15</v>
      </c>
      <c r="H154" s="30">
        <f t="shared" si="6"/>
        <v>1481829.48</v>
      </c>
      <c r="I154" s="4">
        <f t="shared" si="7"/>
        <v>0</v>
      </c>
      <c r="J154" s="31">
        <f>RDG!I36</f>
        <v>480110</v>
      </c>
      <c r="K154" s="31">
        <f>RDG!J36</f>
        <v>244203</v>
      </c>
    </row>
    <row r="155" spans="4:11" ht="12.75">
      <c r="D155" s="4" t="s">
        <v>541</v>
      </c>
      <c r="E155" s="4">
        <v>2</v>
      </c>
      <c r="F155" s="4">
        <f>RDG!G37</f>
        <v>154</v>
      </c>
      <c r="G155" s="4">
        <f>IF(RDG!H37=0,"",RDG!H37)</f>
      </c>
      <c r="H155" s="30">
        <f t="shared" si="6"/>
        <v>947876.16</v>
      </c>
      <c r="I155" s="4">
        <f t="shared" si="7"/>
        <v>0</v>
      </c>
      <c r="J155" s="31">
        <f>RDG!I37</f>
        <v>391822</v>
      </c>
      <c r="K155" s="31">
        <f>RDG!J37</f>
        <v>111841</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t="str">
        <f>IF(RDG!H44=0,"",RDG!H44)</f>
        <v>4</v>
      </c>
      <c r="H162" s="30">
        <f t="shared" si="6"/>
        <v>42911.33</v>
      </c>
      <c r="I162" s="4">
        <f t="shared" si="7"/>
        <v>0</v>
      </c>
      <c r="J162" s="31">
        <f>RDG!I44</f>
        <v>24965</v>
      </c>
      <c r="K162" s="31">
        <f>RDG!J44</f>
        <v>844</v>
      </c>
    </row>
    <row r="163" spans="4:11" ht="12.75">
      <c r="D163" s="4" t="s">
        <v>541</v>
      </c>
      <c r="E163" s="4">
        <v>2</v>
      </c>
      <c r="F163" s="4">
        <f>RDG!G45</f>
        <v>162</v>
      </c>
      <c r="G163" s="4" t="str">
        <f>IF(RDG!H45=0,"",RDG!H45)</f>
        <v>5</v>
      </c>
      <c r="H163" s="30">
        <f t="shared" si="6"/>
        <v>953938.6200000001</v>
      </c>
      <c r="I163" s="4">
        <f t="shared" si="7"/>
        <v>0</v>
      </c>
      <c r="J163" s="31">
        <f>RDG!I45</f>
        <v>366857</v>
      </c>
      <c r="K163" s="31">
        <f>RDG!J45</f>
        <v>110997</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3470126.55</v>
      </c>
      <c r="I166" s="4">
        <f t="shared" si="7"/>
        <v>0</v>
      </c>
      <c r="J166" s="31">
        <f>RDG!I48</f>
        <v>772933</v>
      </c>
      <c r="K166" s="31">
        <f>RDG!J48</f>
        <v>665087</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t="str">
        <f>IF(RDG!H51=0,"",RDG!H51)</f>
        <v>16</v>
      </c>
      <c r="H169" s="30">
        <f t="shared" si="6"/>
        <v>3424515.3600000003</v>
      </c>
      <c r="I169" s="4">
        <f t="shared" si="7"/>
        <v>0</v>
      </c>
      <c r="J169" s="31">
        <f>RDG!I51</f>
        <v>752432</v>
      </c>
      <c r="K169" s="31">
        <f>RDG!J51</f>
        <v>642985</v>
      </c>
    </row>
    <row r="170" spans="4:11" ht="12.75">
      <c r="D170" s="4" t="s">
        <v>541</v>
      </c>
      <c r="E170" s="4">
        <v>2</v>
      </c>
      <c r="F170" s="4">
        <f>RDG!G52</f>
        <v>169</v>
      </c>
      <c r="G170" s="4" t="str">
        <f>IF(RDG!H52=0,"",RDG!H52)</f>
        <v>17</v>
      </c>
      <c r="H170" s="30">
        <f t="shared" si="6"/>
        <v>109351.45000000001</v>
      </c>
      <c r="I170" s="4">
        <f t="shared" si="7"/>
        <v>0</v>
      </c>
      <c r="J170" s="31">
        <f>RDG!I52</f>
        <v>20501</v>
      </c>
      <c r="K170" s="31">
        <f>RDG!J52</f>
        <v>22102</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t="str">
        <f>IF(RDG!H60=0,"",RDG!H60)</f>
        <v>18</v>
      </c>
      <c r="H178" s="30">
        <f t="shared" si="6"/>
        <v>88271671.77</v>
      </c>
      <c r="I178" s="4">
        <f t="shared" si="7"/>
        <v>0</v>
      </c>
      <c r="J178" s="31">
        <f>RDG!I60</f>
        <v>16415529</v>
      </c>
      <c r="K178" s="31">
        <f>RDG!J60</f>
        <v>16727736</v>
      </c>
    </row>
    <row r="179" spans="4:11" ht="12.75">
      <c r="D179" s="4" t="s">
        <v>541</v>
      </c>
      <c r="E179" s="4">
        <v>2</v>
      </c>
      <c r="F179" s="4">
        <f>RDG!G61</f>
        <v>178</v>
      </c>
      <c r="G179" s="4" t="str">
        <f>IF(RDG!H61=0,"",RDG!H61)</f>
        <v>19</v>
      </c>
      <c r="H179" s="30">
        <f t="shared" si="6"/>
        <v>88346896.64</v>
      </c>
      <c r="I179" s="4">
        <f t="shared" si="7"/>
        <v>0</v>
      </c>
      <c r="J179" s="31">
        <f>RDG!I61</f>
        <v>16377570</v>
      </c>
      <c r="K179" s="31">
        <f>RDG!J61</f>
        <v>16627759</v>
      </c>
    </row>
    <row r="180" spans="4:11" ht="12.75">
      <c r="D180" s="4" t="s">
        <v>541</v>
      </c>
      <c r="E180" s="4">
        <v>2</v>
      </c>
      <c r="F180" s="4">
        <f>RDG!G62</f>
        <v>179</v>
      </c>
      <c r="G180" s="4">
        <f>IF(RDG!H62=0,"",RDG!H62)</f>
      </c>
      <c r="H180" s="30">
        <f t="shared" si="6"/>
        <v>425864.26999999996</v>
      </c>
      <c r="I180" s="4">
        <f t="shared" si="7"/>
        <v>0</v>
      </c>
      <c r="J180" s="31">
        <f>RDG!I62</f>
        <v>37959</v>
      </c>
      <c r="K180" s="31">
        <f>RDG!J62</f>
        <v>99977</v>
      </c>
    </row>
    <row r="181" spans="4:11" ht="12.75">
      <c r="D181" s="4" t="s">
        <v>541</v>
      </c>
      <c r="E181" s="4">
        <v>2</v>
      </c>
      <c r="F181" s="4">
        <f>RDG!G63</f>
        <v>180</v>
      </c>
      <c r="G181" s="4" t="str">
        <f>IF(RDG!H63=0,"",RDG!H63)</f>
        <v>20</v>
      </c>
      <c r="H181" s="30">
        <f t="shared" si="6"/>
        <v>428243.4</v>
      </c>
      <c r="I181" s="4">
        <f t="shared" si="7"/>
        <v>0</v>
      </c>
      <c r="J181" s="31">
        <f>RDG!I63</f>
        <v>37959</v>
      </c>
      <c r="K181" s="31">
        <f>RDG!J63</f>
        <v>99977</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t="str">
        <f>IF(RDG!H65=0,"",RDG!H65)</f>
        <v>21</v>
      </c>
      <c r="H183" s="30">
        <f t="shared" si="6"/>
        <v>149345.56</v>
      </c>
      <c r="I183" s="4">
        <f t="shared" si="7"/>
        <v>0</v>
      </c>
      <c r="J183" s="31">
        <f>RDG!I65</f>
        <v>24996</v>
      </c>
      <c r="K183" s="31">
        <f>RDG!J65</f>
        <v>28531</v>
      </c>
    </row>
    <row r="184" spans="4:11" ht="12.75">
      <c r="D184" s="4" t="s">
        <v>541</v>
      </c>
      <c r="E184" s="4">
        <v>2</v>
      </c>
      <c r="F184" s="4">
        <f>RDG!G66</f>
        <v>183</v>
      </c>
      <c r="G184" s="4">
        <f>IF(RDG!H66=0,"",RDG!H66)</f>
      </c>
      <c r="H184" s="30">
        <f t="shared" si="6"/>
        <v>285214.65</v>
      </c>
      <c r="I184" s="4">
        <f t="shared" si="7"/>
        <v>0</v>
      </c>
      <c r="J184" s="31">
        <f>RDG!I66</f>
        <v>12963</v>
      </c>
      <c r="K184" s="31">
        <f>RDG!J66</f>
        <v>71446</v>
      </c>
    </row>
    <row r="185" spans="4:11" ht="12.75">
      <c r="D185" s="4" t="s">
        <v>541</v>
      </c>
      <c r="E185" s="4">
        <v>2</v>
      </c>
      <c r="F185" s="4">
        <f>RDG!G67</f>
        <v>184</v>
      </c>
      <c r="G185" s="4" t="str">
        <f>IF(RDG!H67=0,"",RDG!H67)</f>
        <v>22</v>
      </c>
      <c r="H185" s="30">
        <f t="shared" si="6"/>
        <v>286773.2</v>
      </c>
      <c r="I185" s="4">
        <f t="shared" si="7"/>
        <v>0</v>
      </c>
      <c r="J185" s="31">
        <f>RDG!I67</f>
        <v>12963</v>
      </c>
      <c r="K185" s="31">
        <f>RDG!J67</f>
        <v>71446</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tabSelected="1" zoomScalePageLayoutView="0" workbookViewId="0" topLeftCell="A2">
      <pane ySplit="1" topLeftCell="A19" activePane="bottomLeft" state="frozen"/>
      <selection pane="topLeft" activeCell="A2" sqref="A2"/>
      <selection pane="bottomLeft" activeCell="C37" sqref="C37:J37"/>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AZRRI - Agencija za ruralni razvoj Istre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t="str">
        <f>RefStr!L21</f>
        <v>56788189835</v>
      </c>
      <c r="V3" s="211" t="s">
        <v>2355</v>
      </c>
      <c r="W3" s="232">
        <f>RefStr!C31</f>
        <v>52000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90943600495</v>
      </c>
      <c r="V4" s="211" t="s">
        <v>2356</v>
      </c>
      <c r="W4" s="232" t="str">
        <f>RefStr!F31</f>
        <v>PAZIN</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01689436</v>
      </c>
      <c r="V5" s="211" t="s">
        <v>2357</v>
      </c>
      <c r="W5" s="232" t="str">
        <f>RefStr!C33</f>
        <v>Ulica prof. Tugomila Ujčića 1</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040179222</v>
      </c>
      <c r="V6" s="211" t="s">
        <v>2568</v>
      </c>
      <c r="W6" s="232" t="str">
        <f>RefStr!L35</f>
        <v>052/351-570</v>
      </c>
      <c r="X6" s="211" t="s">
        <v>2514</v>
      </c>
      <c r="Y6" s="232" t="str">
        <f>RefStr!C68</f>
        <v>Jurman Sanja</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INFO@AZRRI.HR</v>
      </c>
      <c r="X7" s="211" t="s">
        <v>2515</v>
      </c>
      <c r="Y7" s="232" t="str">
        <f>RefStr!C70</f>
        <v>052/351-572</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0121</v>
      </c>
      <c r="X8" s="211" t="s">
        <v>2516</v>
      </c>
      <c r="Y8" s="232" t="str">
        <f>TRIM(UPPER(RefStr!C72))</f>
        <v>INFO@AZRRI.HR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26</v>
      </c>
      <c r="Q9" s="231">
        <f>RefStr!F58</f>
        <v>25</v>
      </c>
      <c r="R9" s="211" t="s">
        <v>1860</v>
      </c>
      <c r="S9" s="232">
        <f>IF(RefStr!F4&lt;&gt;"",RefStr!F4,0)</f>
        <v>43100</v>
      </c>
      <c r="T9" s="211" t="s">
        <v>1821</v>
      </c>
      <c r="U9" s="232">
        <f>RefStr!C39</f>
        <v>321</v>
      </c>
      <c r="V9" s="211" t="s">
        <v>1414</v>
      </c>
      <c r="W9" s="232" t="str">
        <f>RefStr!D42</f>
        <v>Uzgoj grožđa </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32</v>
      </c>
      <c r="Q10" s="233">
        <f>RefStr!F56</f>
        <v>31</v>
      </c>
      <c r="R10" s="213" t="s">
        <v>1863</v>
      </c>
      <c r="S10" s="233">
        <f>RefStr!C23</f>
        <v>1</v>
      </c>
      <c r="T10" s="213" t="s">
        <v>2573</v>
      </c>
      <c r="U10" s="233" t="str">
        <f>RefStr!D39</f>
        <v>Pazin</v>
      </c>
      <c r="V10" s="240"/>
      <c r="W10" s="241"/>
      <c r="X10" s="242" t="s">
        <v>1974</v>
      </c>
      <c r="Y10" s="243">
        <f>RefStr!F12</f>
        <v>2017</v>
      </c>
      <c r="Z10" s="213" t="s">
        <v>209</v>
      </c>
      <c r="AA10" s="233" t="str">
        <f>RefStr!A75</f>
        <v>Igor Merlić</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D:\PodaciSaStarogPC\D_Disk_2017_08_02\PodaciBackup\FINANC.IZVJEŠTAJI\FINANCIJSKI IZVJEŠTAJI-2017\GFI-POD-2017\[GFI-POD - 2017 - JAVNA OBJAVA.xls]Dodatni</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7" activePane="bottomLeft" state="frozen"/>
      <selection pane="topLeft" activeCell="A1" sqref="A1"/>
      <selection pane="bottomLeft" activeCell="C19" sqref="C1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2017</v>
      </c>
      <c r="G12" s="330"/>
      <c r="H12" s="322" t="s">
        <v>2105</v>
      </c>
      <c r="I12" s="323"/>
      <c r="J12" s="323"/>
      <c r="K12" s="156"/>
      <c r="L12" s="156"/>
      <c r="M12" s="156"/>
      <c r="N12" s="156"/>
      <c r="P12" s="54" t="s">
        <v>2353</v>
      </c>
      <c r="Q12" s="55">
        <f>INT(VALUE(H27))/10</f>
        <v>168943.6</v>
      </c>
    </row>
    <row r="13" spans="4:17" ht="9.75" customHeight="1">
      <c r="D13" s="156"/>
      <c r="E13" s="162"/>
      <c r="H13" s="27"/>
      <c r="I13" s="163"/>
      <c r="J13" s="163"/>
      <c r="K13" s="156"/>
      <c r="L13" s="156"/>
      <c r="M13" s="156"/>
      <c r="N13" s="156"/>
      <c r="P13" s="54" t="s">
        <v>2353</v>
      </c>
      <c r="Q13" s="55">
        <f>INT(VALUE(M27))/50</f>
        <v>803584.44</v>
      </c>
    </row>
    <row r="14" spans="1:17" ht="15">
      <c r="A14" s="321" t="s">
        <v>2714</v>
      </c>
      <c r="B14" s="321"/>
      <c r="C14" s="321"/>
      <c r="D14" s="164"/>
      <c r="E14" s="165"/>
      <c r="F14" s="319"/>
      <c r="G14" s="320"/>
      <c r="H14" s="320"/>
      <c r="I14" s="156"/>
      <c r="J14" s="327" t="s">
        <v>2100</v>
      </c>
      <c r="K14" s="328"/>
      <c r="L14" s="328"/>
      <c r="M14" s="328"/>
      <c r="N14" s="328"/>
      <c r="P14" s="54" t="s">
        <v>2718</v>
      </c>
      <c r="Q14" s="55">
        <f>INT(VALUE(C27))/100</f>
        <v>909436004.95</v>
      </c>
    </row>
    <row r="15" spans="1:17" ht="19.5" customHeight="1">
      <c r="A15" s="324">
        <f>Skriveni!B59</f>
        <v>2491803389.3599997</v>
      </c>
      <c r="B15" s="325"/>
      <c r="C15" s="326"/>
      <c r="D15" s="60"/>
      <c r="E15" s="60"/>
      <c r="F15" s="60"/>
      <c r="G15" s="60"/>
      <c r="H15" s="60"/>
      <c r="I15" s="60"/>
      <c r="J15" s="60"/>
      <c r="K15" s="60"/>
      <c r="L15" s="60"/>
      <c r="M15" s="60"/>
      <c r="N15" s="60"/>
      <c r="P15" s="54" t="s">
        <v>1817</v>
      </c>
      <c r="Q15" s="55">
        <f>LEN(Skriveni!B9)</f>
        <v>47</v>
      </c>
    </row>
    <row r="16" spans="4:17" ht="12.75" customHeight="1">
      <c r="D16" s="60"/>
      <c r="E16" s="60"/>
      <c r="F16" s="60"/>
      <c r="G16" s="60"/>
      <c r="H16" s="60"/>
      <c r="I16" s="60"/>
      <c r="P16" s="54" t="s">
        <v>1818</v>
      </c>
      <c r="Q16" s="55">
        <f>INT(VALUE(C31))/100</f>
        <v>520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29</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3007</v>
      </c>
      <c r="M21" s="342"/>
      <c r="N21" s="277"/>
      <c r="P21" s="54" t="s">
        <v>1821</v>
      </c>
      <c r="Q21" s="55">
        <f>INT(VALUE(C39))</f>
        <v>321</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121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52000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2961</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321</v>
      </c>
      <c r="D39" s="348" t="str">
        <f>IF(C39="","Šifra grada/općine nije upisana",IF(ISNA(LOOKUP(C39,A177:A732,A177:A732)),"Šifra grada/općine ne postoji",IF(LOOKUP(C39,A177:A732,A177:A732)&lt;&gt;C39,"Šifra grada/općine ne postoji",LOOKUP(C39,A177:A732,B177:B732))))</f>
        <v>Pazin</v>
      </c>
      <c r="E39" s="349"/>
      <c r="F39" s="349"/>
      <c r="G39" s="349"/>
      <c r="H39" s="272" t="s">
        <v>2222</v>
      </c>
      <c r="I39" s="344"/>
      <c r="J39" s="58">
        <f>IF(C39&gt;0,LOOKUP(C39,A177:A732,C177:C732),"")</f>
        <v>18</v>
      </c>
      <c r="K39" s="351" t="str">
        <f>IF(J39="","Treba prvo upisati šifru grada/općine",LOOKUP(J39,A153:A173,B153:B173))</f>
        <v>ISTARSKA</v>
      </c>
      <c r="L39" s="351"/>
      <c r="M39" s="351"/>
      <c r="N39" s="351"/>
      <c r="P39" s="54" t="s">
        <v>1826</v>
      </c>
      <c r="Q39" s="55">
        <f>C56+2*F56+3*C58+4*F58</f>
        <v>272</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1871</v>
      </c>
      <c r="D42" s="353" t="str">
        <f>IF(C42="","Šifra NKD-a nije upisana",IF(ISNA(LOOKUP(C42,A736:A1351,A736:A1351)),"Šifra NKD-a ne postoji",IF(LOOKUP(C42,A736:A1351,A736:A1351)&lt;&gt;C42,"Šifra NKD-a ne postoji",LOOKUP(C42,A736:A1351,B736:B1351))))</f>
        <v>Uzgoj grožđa </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567881898.35</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32</v>
      </c>
      <c r="D56" s="270" t="s">
        <v>2898</v>
      </c>
      <c r="E56" s="380"/>
      <c r="F56" s="44">
        <v>31</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26</v>
      </c>
      <c r="D58" s="278" t="s">
        <v>2898</v>
      </c>
      <c r="E58" s="278"/>
      <c r="F58" s="44">
        <v>25</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2959</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8" activePane="bottomLeft" state="frozen"/>
      <selection pane="topLeft" activeCell="A1" sqref="A1"/>
      <selection pane="bottomLeft" activeCell="H133" sqref="H13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90943600495; AZRRI - Agencija za ruralni razvoj Istre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31347892</v>
      </c>
      <c r="J10" s="70">
        <f>J11+J18+J28+J39+J44</f>
        <v>26142904</v>
      </c>
    </row>
    <row r="11" spans="1:10" ht="13.5" customHeight="1">
      <c r="A11" s="384" t="s">
        <v>1850</v>
      </c>
      <c r="B11" s="384"/>
      <c r="C11" s="384"/>
      <c r="D11" s="384"/>
      <c r="E11" s="384"/>
      <c r="F11" s="384"/>
      <c r="G11" s="19">
        <v>3</v>
      </c>
      <c r="H11" s="20"/>
      <c r="I11" s="70">
        <f>SUM(I12:I17)</f>
        <v>3932934</v>
      </c>
      <c r="J11" s="70">
        <f>SUM(J12:J17)</f>
        <v>1743027</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t="s">
        <v>2965</v>
      </c>
      <c r="I13" s="71">
        <v>1530835</v>
      </c>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t="s">
        <v>2966</v>
      </c>
      <c r="I17" s="71">
        <v>2402099</v>
      </c>
      <c r="J17" s="71">
        <v>1743027</v>
      </c>
    </row>
    <row r="18" spans="1:10" ht="13.5" customHeight="1">
      <c r="A18" s="384" t="s">
        <v>731</v>
      </c>
      <c r="B18" s="384"/>
      <c r="C18" s="384"/>
      <c r="D18" s="384"/>
      <c r="E18" s="384"/>
      <c r="F18" s="384"/>
      <c r="G18" s="19">
        <v>10</v>
      </c>
      <c r="H18" s="20"/>
      <c r="I18" s="70">
        <f>SUM(I19:I27)</f>
        <v>23804946</v>
      </c>
      <c r="J18" s="70">
        <f>SUM(J19:J27)</f>
        <v>21545375</v>
      </c>
    </row>
    <row r="19" spans="1:10" ht="13.5" customHeight="1">
      <c r="A19" s="383" t="s">
        <v>2176</v>
      </c>
      <c r="B19" s="383"/>
      <c r="C19" s="383"/>
      <c r="D19" s="383"/>
      <c r="E19" s="383"/>
      <c r="F19" s="383"/>
      <c r="G19" s="19">
        <v>11</v>
      </c>
      <c r="H19" s="20" t="s">
        <v>2967</v>
      </c>
      <c r="I19" s="71">
        <v>1806989</v>
      </c>
      <c r="J19" s="71">
        <v>1806989</v>
      </c>
    </row>
    <row r="20" spans="1:10" ht="13.5" customHeight="1">
      <c r="A20" s="383" t="s">
        <v>543</v>
      </c>
      <c r="B20" s="383"/>
      <c r="C20" s="383"/>
      <c r="D20" s="383"/>
      <c r="E20" s="383"/>
      <c r="F20" s="383"/>
      <c r="G20" s="19">
        <v>12</v>
      </c>
      <c r="H20" s="20" t="s">
        <v>2968</v>
      </c>
      <c r="I20" s="71">
        <v>7175288</v>
      </c>
      <c r="J20" s="71">
        <v>16545269</v>
      </c>
    </row>
    <row r="21" spans="1:10" ht="13.5" customHeight="1">
      <c r="A21" s="383" t="s">
        <v>2177</v>
      </c>
      <c r="B21" s="383"/>
      <c r="C21" s="383"/>
      <c r="D21" s="383"/>
      <c r="E21" s="383"/>
      <c r="F21" s="383"/>
      <c r="G21" s="19">
        <v>13</v>
      </c>
      <c r="H21" s="20" t="s">
        <v>2969</v>
      </c>
      <c r="I21" s="71">
        <v>2575986</v>
      </c>
      <c r="J21" s="71">
        <v>1232167</v>
      </c>
    </row>
    <row r="22" spans="1:10" ht="13.5" customHeight="1">
      <c r="A22" s="383" t="s">
        <v>2290</v>
      </c>
      <c r="B22" s="383"/>
      <c r="C22" s="383"/>
      <c r="D22" s="383"/>
      <c r="E22" s="383"/>
      <c r="F22" s="383"/>
      <c r="G22" s="19">
        <v>14</v>
      </c>
      <c r="H22" s="20" t="s">
        <v>2970</v>
      </c>
      <c r="I22" s="71">
        <v>221085</v>
      </c>
      <c r="J22" s="71">
        <v>247932</v>
      </c>
    </row>
    <row r="23" spans="1:10" ht="13.5" customHeight="1">
      <c r="A23" s="383" t="s">
        <v>2291</v>
      </c>
      <c r="B23" s="383"/>
      <c r="C23" s="383"/>
      <c r="D23" s="383"/>
      <c r="E23" s="383"/>
      <c r="F23" s="383"/>
      <c r="G23" s="19">
        <v>15</v>
      </c>
      <c r="H23" s="20" t="s">
        <v>2971</v>
      </c>
      <c r="I23" s="71">
        <v>1046200</v>
      </c>
      <c r="J23" s="71">
        <v>870513</v>
      </c>
    </row>
    <row r="24" spans="1:10" ht="13.5" customHeight="1">
      <c r="A24" s="383" t="s">
        <v>1082</v>
      </c>
      <c r="B24" s="383"/>
      <c r="C24" s="383"/>
      <c r="D24" s="383"/>
      <c r="E24" s="383"/>
      <c r="F24" s="383"/>
      <c r="G24" s="19">
        <v>16</v>
      </c>
      <c r="H24" s="20" t="s">
        <v>2972</v>
      </c>
      <c r="I24" s="71"/>
      <c r="J24" s="71">
        <v>138168</v>
      </c>
    </row>
    <row r="25" spans="1:10" ht="13.5" customHeight="1">
      <c r="A25" s="383" t="s">
        <v>1083</v>
      </c>
      <c r="B25" s="383"/>
      <c r="C25" s="383"/>
      <c r="D25" s="383"/>
      <c r="E25" s="383"/>
      <c r="F25" s="383"/>
      <c r="G25" s="19">
        <v>17</v>
      </c>
      <c r="H25" s="20" t="s">
        <v>2973</v>
      </c>
      <c r="I25" s="71">
        <v>10979398</v>
      </c>
      <c r="J25" s="71">
        <v>704337</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351000</v>
      </c>
      <c r="J28" s="70">
        <f>SUM(J29:J38)</f>
        <v>351000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t="s">
        <v>2974</v>
      </c>
      <c r="I38" s="71">
        <v>351000</v>
      </c>
      <c r="J38" s="71">
        <v>351000</v>
      </c>
    </row>
    <row r="39" spans="1:10" ht="13.5" customHeight="1">
      <c r="A39" s="384" t="s">
        <v>2645</v>
      </c>
      <c r="B39" s="384"/>
      <c r="C39" s="384"/>
      <c r="D39" s="384"/>
      <c r="E39" s="384"/>
      <c r="F39" s="384"/>
      <c r="G39" s="19">
        <v>31</v>
      </c>
      <c r="H39" s="20"/>
      <c r="I39" s="70">
        <f>SUM(I40:I43)</f>
        <v>3259012</v>
      </c>
      <c r="J39" s="70">
        <f>SUM(J40:J43)</f>
        <v>2503502</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t="s">
        <v>2975</v>
      </c>
      <c r="I42" s="71">
        <v>7280</v>
      </c>
      <c r="J42" s="71">
        <v>4594</v>
      </c>
    </row>
    <row r="43" spans="1:10" ht="13.5" customHeight="1">
      <c r="A43" s="383" t="s">
        <v>1037</v>
      </c>
      <c r="B43" s="383"/>
      <c r="C43" s="383"/>
      <c r="D43" s="383"/>
      <c r="E43" s="383"/>
      <c r="F43" s="383"/>
      <c r="G43" s="19">
        <v>35</v>
      </c>
      <c r="H43" s="20" t="s">
        <v>2976</v>
      </c>
      <c r="I43" s="71">
        <v>3251732</v>
      </c>
      <c r="J43" s="71">
        <v>2498908</v>
      </c>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11358235</v>
      </c>
      <c r="J45" s="70">
        <f>J46+J54+J61+J71</f>
        <v>11508095</v>
      </c>
    </row>
    <row r="46" spans="1:10" ht="13.5" customHeight="1">
      <c r="A46" s="384" t="s">
        <v>2647</v>
      </c>
      <c r="B46" s="384"/>
      <c r="C46" s="384"/>
      <c r="D46" s="384"/>
      <c r="E46" s="384"/>
      <c r="F46" s="384"/>
      <c r="G46" s="19">
        <v>38</v>
      </c>
      <c r="H46" s="20"/>
      <c r="I46" s="70">
        <f>SUM(I47:I53)</f>
        <v>3402233</v>
      </c>
      <c r="J46" s="70">
        <f>SUM(J47:J53)</f>
        <v>2892149</v>
      </c>
    </row>
    <row r="47" spans="1:10" ht="13.5" customHeight="1">
      <c r="A47" s="383" t="s">
        <v>970</v>
      </c>
      <c r="B47" s="383"/>
      <c r="C47" s="383"/>
      <c r="D47" s="383"/>
      <c r="E47" s="383"/>
      <c r="F47" s="383"/>
      <c r="G47" s="19">
        <v>39</v>
      </c>
      <c r="H47" s="20" t="s">
        <v>2977</v>
      </c>
      <c r="I47" s="71">
        <v>1160808</v>
      </c>
      <c r="J47" s="71">
        <v>853266</v>
      </c>
    </row>
    <row r="48" spans="1:10" ht="13.5" customHeight="1">
      <c r="A48" s="383" t="s">
        <v>971</v>
      </c>
      <c r="B48" s="383"/>
      <c r="C48" s="383"/>
      <c r="D48" s="383"/>
      <c r="E48" s="383"/>
      <c r="F48" s="383"/>
      <c r="G48" s="19">
        <v>40</v>
      </c>
      <c r="H48" s="20" t="s">
        <v>2978</v>
      </c>
      <c r="I48" s="71">
        <v>19159</v>
      </c>
      <c r="J48" s="71">
        <v>68260</v>
      </c>
    </row>
    <row r="49" spans="1:10" ht="13.5" customHeight="1">
      <c r="A49" s="383" t="s">
        <v>972</v>
      </c>
      <c r="B49" s="383"/>
      <c r="C49" s="383"/>
      <c r="D49" s="383"/>
      <c r="E49" s="383"/>
      <c r="F49" s="383"/>
      <c r="G49" s="19">
        <v>41</v>
      </c>
      <c r="H49" s="20" t="s">
        <v>2979</v>
      </c>
      <c r="I49" s="71">
        <v>764170</v>
      </c>
      <c r="J49" s="71">
        <v>768408</v>
      </c>
    </row>
    <row r="50" spans="1:10" ht="13.5" customHeight="1">
      <c r="A50" s="383" t="s">
        <v>973</v>
      </c>
      <c r="B50" s="383"/>
      <c r="C50" s="383"/>
      <c r="D50" s="383"/>
      <c r="E50" s="383"/>
      <c r="F50" s="383"/>
      <c r="G50" s="19">
        <v>42</v>
      </c>
      <c r="H50" s="20" t="s">
        <v>2980</v>
      </c>
      <c r="I50" s="71">
        <v>70398</v>
      </c>
      <c r="J50" s="71">
        <v>37093</v>
      </c>
    </row>
    <row r="51" spans="1:10" ht="13.5" customHeight="1">
      <c r="A51" s="383" t="s">
        <v>974</v>
      </c>
      <c r="B51" s="383"/>
      <c r="C51" s="383"/>
      <c r="D51" s="383"/>
      <c r="E51" s="383"/>
      <c r="F51" s="383"/>
      <c r="G51" s="19">
        <v>43</v>
      </c>
      <c r="H51" s="20" t="s">
        <v>2981</v>
      </c>
      <c r="I51" s="71"/>
      <c r="J51" s="71">
        <v>21559</v>
      </c>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t="s">
        <v>2982</v>
      </c>
      <c r="I53" s="71">
        <v>1387698</v>
      </c>
      <c r="J53" s="71">
        <v>1143563</v>
      </c>
    </row>
    <row r="54" spans="1:10" ht="13.5" customHeight="1">
      <c r="A54" s="384" t="s">
        <v>2648</v>
      </c>
      <c r="B54" s="384"/>
      <c r="C54" s="384"/>
      <c r="D54" s="384"/>
      <c r="E54" s="384"/>
      <c r="F54" s="384"/>
      <c r="G54" s="19">
        <v>46</v>
      </c>
      <c r="H54" s="20"/>
      <c r="I54" s="70">
        <f>SUM(I55:I60)</f>
        <v>2812906</v>
      </c>
      <c r="J54" s="70">
        <f>SUM(J55:J60)</f>
        <v>3778761</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t="s">
        <v>2983</v>
      </c>
      <c r="I57" s="71">
        <v>740172</v>
      </c>
      <c r="J57" s="71">
        <v>535344</v>
      </c>
    </row>
    <row r="58" spans="1:10" ht="13.5" customHeight="1">
      <c r="A58" s="383" t="s">
        <v>350</v>
      </c>
      <c r="B58" s="383"/>
      <c r="C58" s="383"/>
      <c r="D58" s="383"/>
      <c r="E58" s="383"/>
      <c r="F58" s="383"/>
      <c r="G58" s="19">
        <v>50</v>
      </c>
      <c r="H58" s="20" t="s">
        <v>2984</v>
      </c>
      <c r="I58" s="71">
        <v>1214</v>
      </c>
      <c r="J58" s="71">
        <v>1000</v>
      </c>
    </row>
    <row r="59" spans="1:10" ht="13.5" customHeight="1">
      <c r="A59" s="383" t="s">
        <v>351</v>
      </c>
      <c r="B59" s="383"/>
      <c r="C59" s="383"/>
      <c r="D59" s="383"/>
      <c r="E59" s="383"/>
      <c r="F59" s="383"/>
      <c r="G59" s="19">
        <v>51</v>
      </c>
      <c r="H59" s="20" t="s">
        <v>2985</v>
      </c>
      <c r="I59" s="71">
        <v>2071150</v>
      </c>
      <c r="J59" s="71">
        <v>1710184</v>
      </c>
    </row>
    <row r="60" spans="1:10" ht="13.5" customHeight="1">
      <c r="A60" s="383" t="s">
        <v>2638</v>
      </c>
      <c r="B60" s="383"/>
      <c r="C60" s="383"/>
      <c r="D60" s="383"/>
      <c r="E60" s="383"/>
      <c r="F60" s="383"/>
      <c r="G60" s="19">
        <v>52</v>
      </c>
      <c r="H60" s="20" t="s">
        <v>2986</v>
      </c>
      <c r="I60" s="71">
        <v>370</v>
      </c>
      <c r="J60" s="71">
        <v>1532233</v>
      </c>
    </row>
    <row r="61" spans="1:10" ht="13.5" customHeight="1">
      <c r="A61" s="384" t="s">
        <v>2649</v>
      </c>
      <c r="B61" s="384"/>
      <c r="C61" s="384"/>
      <c r="D61" s="384"/>
      <c r="E61" s="384"/>
      <c r="F61" s="384"/>
      <c r="G61" s="19">
        <v>53</v>
      </c>
      <c r="H61" s="20"/>
      <c r="I61" s="70">
        <f>SUM(I62:I70)</f>
        <v>0</v>
      </c>
      <c r="J61" s="70">
        <f>SUM(J62:J70)</f>
        <v>25000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t="s">
        <v>2987</v>
      </c>
      <c r="I69" s="71"/>
      <c r="J69" s="71">
        <v>25000</v>
      </c>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t="s">
        <v>2988</v>
      </c>
      <c r="I71" s="71">
        <v>5143096</v>
      </c>
      <c r="J71" s="71">
        <v>4812185</v>
      </c>
    </row>
    <row r="72" spans="1:10" ht="24.75" customHeight="1">
      <c r="A72" s="381" t="s">
        <v>1558</v>
      </c>
      <c r="B72" s="381"/>
      <c r="C72" s="381"/>
      <c r="D72" s="381"/>
      <c r="E72" s="381"/>
      <c r="F72" s="381"/>
      <c r="G72" s="19">
        <v>64</v>
      </c>
      <c r="H72" s="20" t="s">
        <v>2989</v>
      </c>
      <c r="I72" s="71">
        <v>24455</v>
      </c>
      <c r="J72" s="71">
        <v>5747</v>
      </c>
    </row>
    <row r="73" spans="1:10" ht="13.5" customHeight="1">
      <c r="A73" s="381" t="s">
        <v>2650</v>
      </c>
      <c r="B73" s="381"/>
      <c r="C73" s="381"/>
      <c r="D73" s="381"/>
      <c r="E73" s="381"/>
      <c r="F73" s="381"/>
      <c r="G73" s="19">
        <v>65</v>
      </c>
      <c r="H73" s="20"/>
      <c r="I73" s="70">
        <f>I9+I10+I45+I72</f>
        <v>42730582</v>
      </c>
      <c r="J73" s="70">
        <f>J9+J10+J45+J72</f>
        <v>37656746</v>
      </c>
    </row>
    <row r="74" spans="1:10" ht="13.5" customHeight="1">
      <c r="A74" s="382" t="s">
        <v>257</v>
      </c>
      <c r="B74" s="382"/>
      <c r="C74" s="382"/>
      <c r="D74" s="382"/>
      <c r="E74" s="382"/>
      <c r="F74" s="382"/>
      <c r="G74" s="21">
        <v>66</v>
      </c>
      <c r="H74" s="22" t="s">
        <v>2990</v>
      </c>
      <c r="I74" s="72">
        <v>5202823</v>
      </c>
      <c r="J74" s="72">
        <v>5202823</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6727475</v>
      </c>
      <c r="J76" s="70">
        <f>J77+J78+J79+J85+J86+J90+J93+J96</f>
        <v>6798921</v>
      </c>
      <c r="L76" s="2" t="s">
        <v>2591</v>
      </c>
    </row>
    <row r="77" spans="1:10" ht="13.5" customHeight="1">
      <c r="A77" s="384" t="s">
        <v>935</v>
      </c>
      <c r="B77" s="384"/>
      <c r="C77" s="384"/>
      <c r="D77" s="384"/>
      <c r="E77" s="384"/>
      <c r="F77" s="384"/>
      <c r="G77" s="19">
        <v>68</v>
      </c>
      <c r="H77" s="20" t="s">
        <v>2991</v>
      </c>
      <c r="I77" s="71">
        <v>5955000</v>
      </c>
      <c r="J77" s="71">
        <v>5955000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349025</v>
      </c>
      <c r="J79" s="70">
        <f>J80+J81-J82+J83+J84</f>
        <v>349025</v>
      </c>
      <c r="L79" s="2" t="s">
        <v>2591</v>
      </c>
    </row>
    <row r="80" spans="1:10" ht="13.5" customHeight="1">
      <c r="A80" s="383" t="s">
        <v>2641</v>
      </c>
      <c r="B80" s="383"/>
      <c r="C80" s="383"/>
      <c r="D80" s="383"/>
      <c r="E80" s="383"/>
      <c r="F80" s="383"/>
      <c r="G80" s="19">
        <v>71</v>
      </c>
      <c r="H80" s="20" t="s">
        <v>2992</v>
      </c>
      <c r="I80" s="71">
        <v>55000</v>
      </c>
      <c r="J80" s="71">
        <v>55000</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t="s">
        <v>2993</v>
      </c>
      <c r="I84" s="71">
        <v>294025</v>
      </c>
      <c r="J84" s="71">
        <v>294025</v>
      </c>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410487</v>
      </c>
      <c r="J90" s="70">
        <f>J91-J92</f>
        <v>423450</v>
      </c>
      <c r="L90" s="2" t="s">
        <v>2591</v>
      </c>
    </row>
    <row r="91" spans="1:10" ht="13.5" customHeight="1">
      <c r="A91" s="383" t="s">
        <v>1139</v>
      </c>
      <c r="B91" s="383"/>
      <c r="C91" s="383"/>
      <c r="D91" s="383"/>
      <c r="E91" s="383"/>
      <c r="F91" s="383"/>
      <c r="G91" s="19">
        <v>82</v>
      </c>
      <c r="H91" s="20" t="s">
        <v>2994</v>
      </c>
      <c r="I91" s="71">
        <v>410487</v>
      </c>
      <c r="J91" s="71">
        <v>423450</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12963</v>
      </c>
      <c r="J93" s="70">
        <f>J94-J95</f>
        <v>71446</v>
      </c>
      <c r="L93" s="2" t="s">
        <v>2591</v>
      </c>
    </row>
    <row r="94" spans="1:10" ht="13.5" customHeight="1">
      <c r="A94" s="383" t="s">
        <v>2640</v>
      </c>
      <c r="B94" s="383"/>
      <c r="C94" s="383"/>
      <c r="D94" s="383"/>
      <c r="E94" s="383"/>
      <c r="F94" s="383"/>
      <c r="G94" s="19">
        <v>85</v>
      </c>
      <c r="H94" s="20" t="s">
        <v>2995</v>
      </c>
      <c r="I94" s="71">
        <v>12963</v>
      </c>
      <c r="J94" s="71">
        <v>71446</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18847661</v>
      </c>
      <c r="J104" s="70">
        <f>SUM(J105:J115)</f>
        <v>14715766</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t="s">
        <v>2996</v>
      </c>
      <c r="I110" s="71">
        <v>15632476</v>
      </c>
      <c r="J110" s="71">
        <v>12679318</v>
      </c>
    </row>
    <row r="111" spans="1:10" ht="13.5" customHeight="1">
      <c r="A111" s="383" t="s">
        <v>357</v>
      </c>
      <c r="B111" s="383"/>
      <c r="C111" s="383"/>
      <c r="D111" s="383"/>
      <c r="E111" s="383"/>
      <c r="F111" s="383"/>
      <c r="G111" s="19">
        <v>102</v>
      </c>
      <c r="H111" s="20" t="s">
        <v>3000</v>
      </c>
      <c r="I111" s="71">
        <v>862</v>
      </c>
      <c r="J111" s="71"/>
    </row>
    <row r="112" spans="1:10" ht="13.5" customHeight="1">
      <c r="A112" s="383" t="s">
        <v>358</v>
      </c>
      <c r="B112" s="383"/>
      <c r="C112" s="383"/>
      <c r="D112" s="383"/>
      <c r="E112" s="383"/>
      <c r="F112" s="383"/>
      <c r="G112" s="19">
        <v>103</v>
      </c>
      <c r="H112" s="20" t="s">
        <v>2997</v>
      </c>
      <c r="I112" s="71">
        <v>3214323</v>
      </c>
      <c r="J112" s="71">
        <v>2036448</v>
      </c>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9708770</v>
      </c>
      <c r="J116" s="70">
        <f>SUM(J117:J130)</f>
        <v>8743624</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t="s">
        <v>2998</v>
      </c>
      <c r="I121" s="71">
        <v>4323705</v>
      </c>
      <c r="J121" s="71">
        <v>4038135</v>
      </c>
    </row>
    <row r="122" spans="1:10" ht="13.5" customHeight="1">
      <c r="A122" s="383" t="s">
        <v>362</v>
      </c>
      <c r="B122" s="383"/>
      <c r="C122" s="383"/>
      <c r="D122" s="383"/>
      <c r="E122" s="383"/>
      <c r="F122" s="383"/>
      <c r="G122" s="19">
        <v>113</v>
      </c>
      <c r="H122" s="20" t="s">
        <v>2999</v>
      </c>
      <c r="I122" s="71">
        <v>371154</v>
      </c>
      <c r="J122" s="71">
        <v>110216</v>
      </c>
    </row>
    <row r="123" spans="1:10" ht="13.5" customHeight="1">
      <c r="A123" s="383" t="s">
        <v>357</v>
      </c>
      <c r="B123" s="383"/>
      <c r="C123" s="383"/>
      <c r="D123" s="383"/>
      <c r="E123" s="383"/>
      <c r="F123" s="383"/>
      <c r="G123" s="19">
        <v>114</v>
      </c>
      <c r="H123" s="20"/>
      <c r="I123" s="71"/>
      <c r="J123" s="71">
        <v>937</v>
      </c>
    </row>
    <row r="124" spans="1:10" ht="13.5" customHeight="1">
      <c r="A124" s="383" t="s">
        <v>358</v>
      </c>
      <c r="B124" s="383"/>
      <c r="C124" s="383"/>
      <c r="D124" s="383"/>
      <c r="E124" s="383"/>
      <c r="F124" s="383"/>
      <c r="G124" s="19">
        <v>115</v>
      </c>
      <c r="H124" s="20" t="s">
        <v>3001</v>
      </c>
      <c r="I124" s="71">
        <v>4541168</v>
      </c>
      <c r="J124" s="71">
        <v>4177511</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t="s">
        <v>3002</v>
      </c>
      <c r="I126" s="71">
        <v>237026</v>
      </c>
      <c r="J126" s="71">
        <v>238922</v>
      </c>
    </row>
    <row r="127" spans="1:10" ht="13.5" customHeight="1">
      <c r="A127" s="383" t="s">
        <v>364</v>
      </c>
      <c r="B127" s="383"/>
      <c r="C127" s="383"/>
      <c r="D127" s="383"/>
      <c r="E127" s="383"/>
      <c r="F127" s="383"/>
      <c r="G127" s="19">
        <v>118</v>
      </c>
      <c r="H127" s="20" t="s">
        <v>3003</v>
      </c>
      <c r="I127" s="71">
        <v>143989</v>
      </c>
      <c r="J127" s="71">
        <v>151544</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t="s">
        <v>3004</v>
      </c>
      <c r="I130" s="71">
        <v>91728</v>
      </c>
      <c r="J130" s="71">
        <v>26359</v>
      </c>
    </row>
    <row r="131" spans="1:10" ht="24.75" customHeight="1">
      <c r="A131" s="381" t="s">
        <v>1560</v>
      </c>
      <c r="B131" s="381"/>
      <c r="C131" s="381"/>
      <c r="D131" s="381"/>
      <c r="E131" s="381"/>
      <c r="F131" s="381"/>
      <c r="G131" s="19">
        <v>122</v>
      </c>
      <c r="H131" s="20" t="s">
        <v>3005</v>
      </c>
      <c r="I131" s="71">
        <v>7446676</v>
      </c>
      <c r="J131" s="71">
        <v>7398435</v>
      </c>
    </row>
    <row r="132" spans="1:10" ht="13.5" customHeight="1">
      <c r="A132" s="381" t="s">
        <v>2657</v>
      </c>
      <c r="B132" s="381"/>
      <c r="C132" s="381"/>
      <c r="D132" s="381"/>
      <c r="E132" s="381"/>
      <c r="F132" s="381"/>
      <c r="G132" s="19">
        <v>123</v>
      </c>
      <c r="H132" s="20"/>
      <c r="I132" s="70">
        <f>I76+I97+I104+I116+I131</f>
        <v>42730582</v>
      </c>
      <c r="J132" s="70">
        <f>J76+J97+J104+J116+J131</f>
        <v>37656746</v>
      </c>
    </row>
    <row r="133" spans="1:10" ht="13.5" customHeight="1">
      <c r="A133" s="382" t="s">
        <v>662</v>
      </c>
      <c r="B133" s="382"/>
      <c r="C133" s="382"/>
      <c r="D133" s="382"/>
      <c r="E133" s="382"/>
      <c r="F133" s="382"/>
      <c r="G133" s="21">
        <v>124</v>
      </c>
      <c r="H133" s="22" t="s">
        <v>3006</v>
      </c>
      <c r="I133" s="72">
        <v>5202823</v>
      </c>
      <c r="J133" s="72">
        <v>5202823</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89" activePane="bottomLeft" state="frozen"/>
      <selection pane="topLeft" activeCell="A1" sqref="A1"/>
      <selection pane="bottomLeft" activeCell="H68" sqref="H68"/>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01.01.2017. do 31.12.2017.</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90943600495; AZRRI - Agencija za ruralni razvoj Istre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16023707</v>
      </c>
      <c r="J8" s="84">
        <f>SUM(J9:J13)</f>
        <v>16615895</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t="s">
        <v>2965</v>
      </c>
      <c r="I10" s="71">
        <v>6752882</v>
      </c>
      <c r="J10" s="71">
        <v>6982836</v>
      </c>
    </row>
    <row r="11" spans="1:10" s="2" customFormat="1" ht="13.5" customHeight="1">
      <c r="A11" s="383" t="s">
        <v>1435</v>
      </c>
      <c r="B11" s="383"/>
      <c r="C11" s="383"/>
      <c r="D11" s="383"/>
      <c r="E11" s="383"/>
      <c r="F11" s="383"/>
      <c r="G11" s="19">
        <v>128</v>
      </c>
      <c r="H11" s="20" t="s">
        <v>2966</v>
      </c>
      <c r="I11" s="71">
        <v>50640</v>
      </c>
      <c r="J11" s="71">
        <v>27906</v>
      </c>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t="s">
        <v>2967</v>
      </c>
      <c r="I13" s="71">
        <v>9220185</v>
      </c>
      <c r="J13" s="71">
        <v>9605153</v>
      </c>
    </row>
    <row r="14" spans="1:10" s="2" customFormat="1" ht="13.5" customHeight="1">
      <c r="A14" s="381" t="s">
        <v>1837</v>
      </c>
      <c r="B14" s="381"/>
      <c r="C14" s="381"/>
      <c r="D14" s="381"/>
      <c r="E14" s="381"/>
      <c r="F14" s="381"/>
      <c r="G14" s="19">
        <v>131</v>
      </c>
      <c r="H14" s="20"/>
      <c r="I14" s="70">
        <f>I15+I16+I20+I24+I25+I26+I29+I36</f>
        <v>15604637</v>
      </c>
      <c r="J14" s="70">
        <f>J15+J16+J20+J24+J25+J26+J29+J36</f>
        <v>15962672</v>
      </c>
    </row>
    <row r="15" spans="1:12" s="2" customFormat="1" ht="13.5" customHeight="1">
      <c r="A15" s="383" t="s">
        <v>258</v>
      </c>
      <c r="B15" s="383"/>
      <c r="C15" s="383"/>
      <c r="D15" s="383"/>
      <c r="E15" s="383"/>
      <c r="F15" s="383"/>
      <c r="G15" s="19">
        <v>132</v>
      </c>
      <c r="H15" s="20" t="s">
        <v>2970</v>
      </c>
      <c r="I15" s="71">
        <v>50929</v>
      </c>
      <c r="J15" s="71">
        <v>190796</v>
      </c>
      <c r="L15" s="2" t="s">
        <v>2591</v>
      </c>
    </row>
    <row r="16" spans="1:10" s="2" customFormat="1" ht="13.5" customHeight="1">
      <c r="A16" s="383" t="s">
        <v>1838</v>
      </c>
      <c r="B16" s="383"/>
      <c r="C16" s="383"/>
      <c r="D16" s="383"/>
      <c r="E16" s="383"/>
      <c r="F16" s="383"/>
      <c r="G16" s="19">
        <v>133</v>
      </c>
      <c r="H16" s="20"/>
      <c r="I16" s="70">
        <f>SUM(I17:I19)</f>
        <v>6854250</v>
      </c>
      <c r="J16" s="70">
        <f>SUM(J17:J19)</f>
        <v>7428727</v>
      </c>
    </row>
    <row r="17" spans="1:10" s="2" customFormat="1" ht="13.5" customHeight="1">
      <c r="A17" s="409" t="s">
        <v>504</v>
      </c>
      <c r="B17" s="409"/>
      <c r="C17" s="409"/>
      <c r="D17" s="409"/>
      <c r="E17" s="409"/>
      <c r="F17" s="409"/>
      <c r="G17" s="19">
        <v>134</v>
      </c>
      <c r="H17" s="20" t="s">
        <v>2971</v>
      </c>
      <c r="I17" s="71">
        <v>2853076</v>
      </c>
      <c r="J17" s="71">
        <v>3198211</v>
      </c>
    </row>
    <row r="18" spans="1:10" s="2" customFormat="1" ht="13.5" customHeight="1">
      <c r="A18" s="409" t="s">
        <v>505</v>
      </c>
      <c r="B18" s="409"/>
      <c r="C18" s="409"/>
      <c r="D18" s="409"/>
      <c r="E18" s="409"/>
      <c r="F18" s="409"/>
      <c r="G18" s="19">
        <v>135</v>
      </c>
      <c r="H18" s="20" t="s">
        <v>2972</v>
      </c>
      <c r="I18" s="71">
        <v>1578860</v>
      </c>
      <c r="J18" s="71">
        <v>1399765</v>
      </c>
    </row>
    <row r="19" spans="1:10" s="2" customFormat="1" ht="13.5" customHeight="1">
      <c r="A19" s="409" t="s">
        <v>1426</v>
      </c>
      <c r="B19" s="409"/>
      <c r="C19" s="409"/>
      <c r="D19" s="409"/>
      <c r="E19" s="409"/>
      <c r="F19" s="409"/>
      <c r="G19" s="19">
        <v>136</v>
      </c>
      <c r="H19" s="20" t="s">
        <v>2973</v>
      </c>
      <c r="I19" s="71">
        <v>2422314</v>
      </c>
      <c r="J19" s="71">
        <v>2830751</v>
      </c>
    </row>
    <row r="20" spans="1:10" s="2" customFormat="1" ht="13.5" customHeight="1">
      <c r="A20" s="383" t="s">
        <v>1839</v>
      </c>
      <c r="B20" s="383"/>
      <c r="C20" s="383"/>
      <c r="D20" s="383"/>
      <c r="E20" s="383"/>
      <c r="F20" s="383"/>
      <c r="G20" s="19">
        <v>137</v>
      </c>
      <c r="H20" s="20"/>
      <c r="I20" s="70">
        <f>SUM(I21:I23)</f>
        <v>4252204</v>
      </c>
      <c r="J20" s="70">
        <f>SUM(J21:J23)</f>
        <v>4096424</v>
      </c>
    </row>
    <row r="21" spans="1:10" s="2" customFormat="1" ht="13.5" customHeight="1">
      <c r="A21" s="409" t="s">
        <v>724</v>
      </c>
      <c r="B21" s="409"/>
      <c r="C21" s="409"/>
      <c r="D21" s="409"/>
      <c r="E21" s="409"/>
      <c r="F21" s="409"/>
      <c r="G21" s="19">
        <v>138</v>
      </c>
      <c r="H21" s="20" t="s">
        <v>2974</v>
      </c>
      <c r="I21" s="71">
        <v>2571782</v>
      </c>
      <c r="J21" s="71">
        <v>2500058</v>
      </c>
    </row>
    <row r="22" spans="1:10" s="2" customFormat="1" ht="13.5" customHeight="1">
      <c r="A22" s="409" t="s">
        <v>961</v>
      </c>
      <c r="B22" s="409"/>
      <c r="C22" s="409"/>
      <c r="D22" s="409"/>
      <c r="E22" s="409"/>
      <c r="F22" s="409"/>
      <c r="G22" s="19">
        <v>139</v>
      </c>
      <c r="H22" s="20" t="s">
        <v>2975</v>
      </c>
      <c r="I22" s="71">
        <v>1044684</v>
      </c>
      <c r="J22" s="71">
        <v>977347</v>
      </c>
    </row>
    <row r="23" spans="1:10" s="2" customFormat="1" ht="13.5" customHeight="1">
      <c r="A23" s="409" t="s">
        <v>962</v>
      </c>
      <c r="B23" s="409"/>
      <c r="C23" s="409"/>
      <c r="D23" s="409"/>
      <c r="E23" s="409"/>
      <c r="F23" s="409"/>
      <c r="G23" s="19">
        <v>140</v>
      </c>
      <c r="H23" s="20" t="s">
        <v>2976</v>
      </c>
      <c r="I23" s="71">
        <v>635738</v>
      </c>
      <c r="J23" s="71">
        <v>619019</v>
      </c>
    </row>
    <row r="24" spans="1:10" s="2" customFormat="1" ht="13.5" customHeight="1">
      <c r="A24" s="383" t="s">
        <v>259</v>
      </c>
      <c r="B24" s="383"/>
      <c r="C24" s="383"/>
      <c r="D24" s="383"/>
      <c r="E24" s="383"/>
      <c r="F24" s="383"/>
      <c r="G24" s="19">
        <v>141</v>
      </c>
      <c r="H24" s="20" t="s">
        <v>2977</v>
      </c>
      <c r="I24" s="71">
        <v>2356002</v>
      </c>
      <c r="J24" s="71">
        <v>3219236</v>
      </c>
    </row>
    <row r="25" spans="1:10" s="2" customFormat="1" ht="13.5" customHeight="1">
      <c r="A25" s="383" t="s">
        <v>260</v>
      </c>
      <c r="B25" s="383"/>
      <c r="C25" s="383"/>
      <c r="D25" s="383"/>
      <c r="E25" s="383"/>
      <c r="F25" s="383"/>
      <c r="G25" s="19">
        <v>142</v>
      </c>
      <c r="H25" s="20" t="s">
        <v>2978</v>
      </c>
      <c r="I25" s="71">
        <v>818150</v>
      </c>
      <c r="J25" s="71">
        <v>783286</v>
      </c>
    </row>
    <row r="26" spans="1:12" s="2" customFormat="1" ht="13.5" customHeight="1">
      <c r="A26" s="383" t="s">
        <v>1840</v>
      </c>
      <c r="B26" s="383"/>
      <c r="C26" s="383"/>
      <c r="D26" s="383"/>
      <c r="E26" s="383"/>
      <c r="F26" s="383"/>
      <c r="G26" s="19">
        <v>143</v>
      </c>
      <c r="H26" s="20"/>
      <c r="I26" s="70">
        <f>SUM(I27:I28)</f>
        <v>792992</v>
      </c>
      <c r="J26" s="70">
        <f>SUM(J27:J28)</f>
        <v>0</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792992</v>
      </c>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t="s">
        <v>2979</v>
      </c>
      <c r="I36" s="71">
        <v>480110</v>
      </c>
      <c r="J36" s="71">
        <v>244203</v>
      </c>
    </row>
    <row r="37" spans="1:10" s="2" customFormat="1" ht="13.5" customHeight="1">
      <c r="A37" s="381" t="s">
        <v>1842</v>
      </c>
      <c r="B37" s="381"/>
      <c r="C37" s="381"/>
      <c r="D37" s="381"/>
      <c r="E37" s="381"/>
      <c r="F37" s="381"/>
      <c r="G37" s="19">
        <v>154</v>
      </c>
      <c r="H37" s="20"/>
      <c r="I37" s="70">
        <f>SUM(I38:I47)</f>
        <v>391822</v>
      </c>
      <c r="J37" s="70">
        <f>SUM(J38:J47)</f>
        <v>111841</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t="s">
        <v>2968</v>
      </c>
      <c r="I44" s="71">
        <v>24965</v>
      </c>
      <c r="J44" s="71">
        <v>844</v>
      </c>
    </row>
    <row r="45" spans="1:10" s="2" customFormat="1" ht="13.5" customHeight="1">
      <c r="A45" s="383" t="s">
        <v>1428</v>
      </c>
      <c r="B45" s="383"/>
      <c r="C45" s="383"/>
      <c r="D45" s="383"/>
      <c r="E45" s="383"/>
      <c r="F45" s="383"/>
      <c r="G45" s="19">
        <v>162</v>
      </c>
      <c r="H45" s="20" t="s">
        <v>2969</v>
      </c>
      <c r="I45" s="71">
        <v>366857</v>
      </c>
      <c r="J45" s="71">
        <v>110997</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772933</v>
      </c>
      <c r="J48" s="70">
        <f>SUM(J49:J55)</f>
        <v>665087</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t="s">
        <v>2980</v>
      </c>
      <c r="I51" s="71">
        <v>752432</v>
      </c>
      <c r="J51" s="71">
        <v>642985</v>
      </c>
    </row>
    <row r="52" spans="1:10" s="2" customFormat="1" ht="13.5" customHeight="1">
      <c r="A52" s="403" t="s">
        <v>1439</v>
      </c>
      <c r="B52" s="403"/>
      <c r="C52" s="403"/>
      <c r="D52" s="403"/>
      <c r="E52" s="403"/>
      <c r="F52" s="403"/>
      <c r="G52" s="19">
        <v>169</v>
      </c>
      <c r="H52" s="20" t="s">
        <v>2981</v>
      </c>
      <c r="I52" s="71">
        <v>20501</v>
      </c>
      <c r="J52" s="71">
        <v>22102</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t="s">
        <v>2982</v>
      </c>
      <c r="I60" s="70">
        <f>I8+I37+I56+I57</f>
        <v>16415529</v>
      </c>
      <c r="J60" s="70">
        <f>J8+J37+J56+J57</f>
        <v>16727736</v>
      </c>
    </row>
    <row r="61" spans="1:10" s="2" customFormat="1" ht="13.5" customHeight="1">
      <c r="A61" s="381" t="s">
        <v>1845</v>
      </c>
      <c r="B61" s="381"/>
      <c r="C61" s="381"/>
      <c r="D61" s="381"/>
      <c r="E61" s="381"/>
      <c r="F61" s="381"/>
      <c r="G61" s="19">
        <v>178</v>
      </c>
      <c r="H61" s="20" t="s">
        <v>2983</v>
      </c>
      <c r="I61" s="70">
        <f>I14+I48+I58+I59</f>
        <v>16377570</v>
      </c>
      <c r="J61" s="70">
        <f>J14+J48+J58+J59</f>
        <v>16627759</v>
      </c>
    </row>
    <row r="62" spans="1:12" s="2" customFormat="1" ht="13.5" customHeight="1">
      <c r="A62" s="381" t="s">
        <v>2581</v>
      </c>
      <c r="B62" s="381"/>
      <c r="C62" s="381"/>
      <c r="D62" s="381"/>
      <c r="E62" s="381"/>
      <c r="F62" s="381"/>
      <c r="G62" s="19">
        <v>179</v>
      </c>
      <c r="H62" s="20"/>
      <c r="I62" s="70">
        <f>I60-I61</f>
        <v>37959</v>
      </c>
      <c r="J62" s="70">
        <f>J60-J61</f>
        <v>99977</v>
      </c>
      <c r="L62" s="2" t="s">
        <v>2591</v>
      </c>
    </row>
    <row r="63" spans="1:10" s="2" customFormat="1" ht="13.5" customHeight="1">
      <c r="A63" s="403" t="s">
        <v>2658</v>
      </c>
      <c r="B63" s="403"/>
      <c r="C63" s="403"/>
      <c r="D63" s="403"/>
      <c r="E63" s="403"/>
      <c r="F63" s="403"/>
      <c r="G63" s="19">
        <v>180</v>
      </c>
      <c r="H63" s="20" t="s">
        <v>2984</v>
      </c>
      <c r="I63" s="70">
        <f>IF(I60&gt;I61,I60-I61,0)</f>
        <v>37959</v>
      </c>
      <c r="J63" s="70">
        <f>IF(J60&gt;J61,J60-J61,0)</f>
        <v>99977</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t="s">
        <v>2985</v>
      </c>
      <c r="I65" s="71">
        <v>24996</v>
      </c>
      <c r="J65" s="71">
        <v>28531</v>
      </c>
      <c r="L65" s="2" t="s">
        <v>2591</v>
      </c>
    </row>
    <row r="66" spans="1:12" s="2" customFormat="1" ht="13.5" customHeight="1">
      <c r="A66" s="381" t="s">
        <v>2582</v>
      </c>
      <c r="B66" s="381"/>
      <c r="C66" s="381"/>
      <c r="D66" s="381"/>
      <c r="E66" s="381"/>
      <c r="F66" s="381"/>
      <c r="G66" s="19">
        <v>183</v>
      </c>
      <c r="H66" s="20"/>
      <c r="I66" s="70">
        <f>I62-I65</f>
        <v>12963</v>
      </c>
      <c r="J66" s="70">
        <f>J62-J65</f>
        <v>71446</v>
      </c>
      <c r="L66" s="2" t="s">
        <v>2591</v>
      </c>
    </row>
    <row r="67" spans="1:10" s="2" customFormat="1" ht="13.5" customHeight="1">
      <c r="A67" s="403" t="s">
        <v>779</v>
      </c>
      <c r="B67" s="403"/>
      <c r="C67" s="403"/>
      <c r="D67" s="403"/>
      <c r="E67" s="403"/>
      <c r="F67" s="403"/>
      <c r="G67" s="19">
        <v>184</v>
      </c>
      <c r="H67" s="20" t="s">
        <v>2986</v>
      </c>
      <c r="I67" s="70">
        <f>IF(I66&gt;0,I66,0)</f>
        <v>12963</v>
      </c>
      <c r="J67" s="70">
        <f>IF(J66&gt;0,J66,0)</f>
        <v>71446</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4" activePane="bottomLeft" state="frozen"/>
      <selection pane="topLeft" activeCell="A1" sqref="A1"/>
      <selection pane="bottomLeft" activeCell="J35" sqref="J3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90943600495; AZRRI - Agencija za ruralni razvoj Istre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90943600495; AZRRI - Agencija za ruralni razvoj Istre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90943600495; AZRRI - Agencija za ruralni razvoj Istre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90943600495; AZRRI - Agencija za ruralni razvoj Istre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SANJA</cp:lastModifiedBy>
  <cp:lastPrinted>2018-03-15T09:08:33Z</cp:lastPrinted>
  <dcterms:created xsi:type="dcterms:W3CDTF">2008-10-17T11:51:54Z</dcterms:created>
  <dcterms:modified xsi:type="dcterms:W3CDTF">2018-05-23T10:12:57Z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